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dupuis\Desktop\"/>
    </mc:Choice>
  </mc:AlternateContent>
  <bookViews>
    <workbookView xWindow="0" yWindow="0" windowWidth="28800" windowHeight="12435"/>
  </bookViews>
  <sheets>
    <sheet name="Modèle" sheetId="20" r:id="rId1"/>
    <sheet name="Contrat" sheetId="6" r:id="rId2"/>
    <sheet name="CAPEX" sheetId="8" r:id="rId3"/>
    <sheet name="OPEX" sheetId="10" r:id="rId4"/>
    <sheet name="Productible" sheetId="9" r:id="rId5"/>
    <sheet name="TRI" sheetId="11" r:id="rId6"/>
    <sheet name="Modulation géo" sheetId="7" r:id="rId7"/>
    <sheet name="Indices INSEE" sheetId="12" r:id="rId8"/>
  </sheets>
  <definedNames>
    <definedName name="année_k_révision" localSheetId="0">Modèle!$Y$33</definedName>
    <definedName name="CAPEX" localSheetId="0">Modèle!$Q$5</definedName>
    <definedName name="code_contrat" localSheetId="0">Modèle!$C$7</definedName>
    <definedName name="coefficient_A" localSheetId="0">Modèle!$I$5</definedName>
    <definedName name="coefficient_B" localSheetId="0">Modèle!$I$6</definedName>
    <definedName name="coefficient_K" localSheetId="0">Modèle!$Y$28</definedName>
    <definedName name="coefficient_L" localSheetId="0">Modèle!$Y$23</definedName>
    <definedName name="coefficient_L_post_révision" localSheetId="0">Modèle!$Y$36</definedName>
    <definedName name="coefficient_M">Modèle!$L$5</definedName>
    <definedName name="coefficient_N">Modèle!$L$6</definedName>
    <definedName name="coefficient_R" localSheetId="0">Modèle!$Y$27</definedName>
    <definedName name="coefficient_X">Modèle!$O$5</definedName>
    <definedName name="date_DCR" localSheetId="0">Modèle!$C$11</definedName>
    <definedName name="date_MES" localSheetId="0">Modèle!$C$10</definedName>
    <definedName name="date_révision">Modèle!$Y$32</definedName>
    <definedName name="département" localSheetId="0">Modèle!$C$6</definedName>
    <definedName name="disponibilité" localSheetId="0">Modèle!$Y$31</definedName>
    <definedName name="inflation" localSheetId="0">Modèle!$Y$38</definedName>
    <definedName name="MC_ZNI?" localSheetId="0">Modèle!$C$5</definedName>
    <definedName name="OPEX_MES">Modèle!$Q$6</definedName>
    <definedName name="perte_rendement" localSheetId="0">Modèle!$Y$37</definedName>
    <definedName name="plage_puissance" localSheetId="0">Modèle!$Y$21</definedName>
    <definedName name="pourcentage_année_n">Modèle!$Y$24</definedName>
    <definedName name="pourcentage_année_nplus1">Modèle!$Y$25</definedName>
    <definedName name="pourcentage_annéek_tref">Modèle!$Y$34</definedName>
    <definedName name="pourcentage_annéek_trev">Modèle!$Y$35</definedName>
    <definedName name="puissance" localSheetId="0">Modèle!$C$9</definedName>
    <definedName name="région" localSheetId="0">Modèle!$Y$18</definedName>
    <definedName name="révision?" localSheetId="0">Modèle!$J$9</definedName>
    <definedName name="tarif_nul">Modèle!$J$10</definedName>
    <definedName name="Tbase" localSheetId="0">Modèle!$Y$26</definedName>
    <definedName name="Tref" localSheetId="0">Modèle!$Y$29</definedName>
    <definedName name="Tref_k">Modèle!$C$53</definedName>
    <definedName name="Trévision">Modèle!$J$12</definedName>
    <definedName name="Trevision_théorique">Modèle!$J$11</definedName>
    <definedName name="TRI_cible" localSheetId="0">Modèle!$Y$30</definedName>
    <definedName name="trimestre_MES" localSheetId="0">Modèle!$Y$22</definedName>
    <definedName name="typologie_détaillée" localSheetId="0">Modèle!$C$8</definedName>
    <definedName name="typologie_simplifiée_CAPEX" localSheetId="0">Modèle!$Y$19</definedName>
    <definedName name="typologie_simplifiée_OPEX_productible" localSheetId="0">Modèle!$Y$20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20" l="1"/>
  <c r="B21" i="10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C21" i="10"/>
  <c r="D21" i="10"/>
  <c r="E21" i="10"/>
  <c r="F21" i="10"/>
  <c r="G21" i="10"/>
  <c r="H21" i="10"/>
  <c r="I21" i="10"/>
  <c r="C22" i="10"/>
  <c r="D22" i="10"/>
  <c r="E22" i="10"/>
  <c r="F22" i="10"/>
  <c r="G22" i="10"/>
  <c r="H22" i="10"/>
  <c r="I22" i="10"/>
  <c r="C23" i="10"/>
  <c r="D23" i="10"/>
  <c r="E23" i="10"/>
  <c r="F23" i="10"/>
  <c r="G23" i="10"/>
  <c r="H23" i="10"/>
  <c r="I23" i="10"/>
  <c r="C24" i="10"/>
  <c r="D24" i="10"/>
  <c r="E24" i="10"/>
  <c r="F24" i="10"/>
  <c r="G24" i="10"/>
  <c r="H24" i="10"/>
  <c r="I24" i="10"/>
  <c r="C25" i="10"/>
  <c r="D25" i="10"/>
  <c r="E25" i="10"/>
  <c r="F25" i="10"/>
  <c r="G25" i="10"/>
  <c r="H25" i="10"/>
  <c r="I25" i="10"/>
  <c r="C26" i="10"/>
  <c r="D26" i="10"/>
  <c r="E26" i="10"/>
  <c r="F26" i="10"/>
  <c r="G26" i="10"/>
  <c r="H26" i="10"/>
  <c r="I26" i="10"/>
  <c r="C27" i="10"/>
  <c r="D27" i="10"/>
  <c r="E27" i="10"/>
  <c r="F27" i="10"/>
  <c r="G27" i="10"/>
  <c r="H27" i="10"/>
  <c r="I27" i="10"/>
  <c r="C28" i="10"/>
  <c r="D28" i="10"/>
  <c r="E28" i="10"/>
  <c r="F28" i="10"/>
  <c r="G28" i="10"/>
  <c r="H28" i="10"/>
  <c r="I28" i="10"/>
  <c r="C29" i="10"/>
  <c r="D29" i="10"/>
  <c r="E29" i="10"/>
  <c r="F29" i="10"/>
  <c r="G29" i="10"/>
  <c r="H29" i="10"/>
  <c r="I29" i="10"/>
  <c r="C30" i="10"/>
  <c r="D30" i="10"/>
  <c r="E30" i="10"/>
  <c r="F30" i="10"/>
  <c r="F31" i="10" s="1"/>
  <c r="F32" i="10" s="1"/>
  <c r="F33" i="10" s="1"/>
  <c r="F34" i="10" s="1"/>
  <c r="F35" i="10" s="1"/>
  <c r="F36" i="10" s="1"/>
  <c r="F37" i="10" s="1"/>
  <c r="F38" i="10" s="1"/>
  <c r="F39" i="10" s="1"/>
  <c r="F40" i="10" s="1"/>
  <c r="F41" i="10" s="1"/>
  <c r="F42" i="10" s="1"/>
  <c r="F43" i="10" s="1"/>
  <c r="F44" i="10" s="1"/>
  <c r="F45" i="10" s="1"/>
  <c r="F46" i="10" s="1"/>
  <c r="F47" i="10" s="1"/>
  <c r="F48" i="10" s="1"/>
  <c r="F49" i="10" s="1"/>
  <c r="F50" i="10" s="1"/>
  <c r="F51" i="10" s="1"/>
  <c r="F52" i="10" s="1"/>
  <c r="F53" i="10" s="1"/>
  <c r="F54" i="10" s="1"/>
  <c r="F55" i="10" s="1"/>
  <c r="F56" i="10" s="1"/>
  <c r="F57" i="10" s="1"/>
  <c r="F58" i="10" s="1"/>
  <c r="F59" i="10" s="1"/>
  <c r="F60" i="10" s="1"/>
  <c r="F61" i="10" s="1"/>
  <c r="F62" i="10" s="1"/>
  <c r="F63" i="10" s="1"/>
  <c r="F64" i="10" s="1"/>
  <c r="G30" i="10"/>
  <c r="H30" i="10"/>
  <c r="I30" i="10"/>
  <c r="C31" i="10"/>
  <c r="D31" i="10"/>
  <c r="E31" i="10"/>
  <c r="G31" i="10"/>
  <c r="H31" i="10"/>
  <c r="I31" i="10"/>
  <c r="C32" i="10"/>
  <c r="D32" i="10"/>
  <c r="E32" i="10"/>
  <c r="G32" i="10"/>
  <c r="H32" i="10"/>
  <c r="I32" i="10"/>
  <c r="C33" i="10"/>
  <c r="D33" i="10"/>
  <c r="E33" i="10"/>
  <c r="G33" i="10"/>
  <c r="H33" i="10"/>
  <c r="I33" i="10"/>
  <c r="C34" i="10"/>
  <c r="D34" i="10"/>
  <c r="E34" i="10"/>
  <c r="G34" i="10"/>
  <c r="H34" i="10"/>
  <c r="I34" i="10"/>
  <c r="C35" i="10"/>
  <c r="D35" i="10"/>
  <c r="E35" i="10"/>
  <c r="G35" i="10"/>
  <c r="H35" i="10"/>
  <c r="I35" i="10"/>
  <c r="C36" i="10"/>
  <c r="D36" i="10"/>
  <c r="E36" i="10"/>
  <c r="G36" i="10"/>
  <c r="H36" i="10"/>
  <c r="I36" i="10"/>
  <c r="C37" i="10"/>
  <c r="D37" i="10"/>
  <c r="E37" i="10"/>
  <c r="G37" i="10"/>
  <c r="H37" i="10"/>
  <c r="I37" i="10"/>
  <c r="C38" i="10"/>
  <c r="D38" i="10"/>
  <c r="E38" i="10"/>
  <c r="G38" i="10"/>
  <c r="H38" i="10"/>
  <c r="I38" i="10"/>
  <c r="C39" i="10"/>
  <c r="D39" i="10"/>
  <c r="E39" i="10"/>
  <c r="G39" i="10"/>
  <c r="H39" i="10"/>
  <c r="I39" i="10"/>
  <c r="C40" i="10"/>
  <c r="D40" i="10"/>
  <c r="E40" i="10"/>
  <c r="G40" i="10"/>
  <c r="H40" i="10"/>
  <c r="I40" i="10"/>
  <c r="C41" i="10"/>
  <c r="D41" i="10"/>
  <c r="E41" i="10"/>
  <c r="G41" i="10"/>
  <c r="H41" i="10"/>
  <c r="I41" i="10"/>
  <c r="C42" i="10"/>
  <c r="D42" i="10"/>
  <c r="E42" i="10"/>
  <c r="E43" i="10" s="1"/>
  <c r="E44" i="10" s="1"/>
  <c r="E45" i="10" s="1"/>
  <c r="E46" i="10" s="1"/>
  <c r="E47" i="10" s="1"/>
  <c r="E48" i="10" s="1"/>
  <c r="E49" i="10" s="1"/>
  <c r="E50" i="10" s="1"/>
  <c r="E51" i="10" s="1"/>
  <c r="E52" i="10" s="1"/>
  <c r="E53" i="10" s="1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E64" i="10" s="1"/>
  <c r="G42" i="10"/>
  <c r="H42" i="10"/>
  <c r="I42" i="10"/>
  <c r="C43" i="10"/>
  <c r="D43" i="10"/>
  <c r="G43" i="10"/>
  <c r="H43" i="10"/>
  <c r="I43" i="10"/>
  <c r="C44" i="10"/>
  <c r="D44" i="10"/>
  <c r="G44" i="10"/>
  <c r="H44" i="10"/>
  <c r="I44" i="10"/>
  <c r="C45" i="10"/>
  <c r="D45" i="10"/>
  <c r="G45" i="10"/>
  <c r="H45" i="10"/>
  <c r="I45" i="10"/>
  <c r="C46" i="10"/>
  <c r="D46" i="10"/>
  <c r="G46" i="10"/>
  <c r="H46" i="10"/>
  <c r="I46" i="10"/>
  <c r="C47" i="10"/>
  <c r="D47" i="10"/>
  <c r="G47" i="10"/>
  <c r="H47" i="10"/>
  <c r="I47" i="10"/>
  <c r="C48" i="10"/>
  <c r="D48" i="10"/>
  <c r="G48" i="10"/>
  <c r="H48" i="10"/>
  <c r="I48" i="10"/>
  <c r="C49" i="10"/>
  <c r="D49" i="10"/>
  <c r="G49" i="10"/>
  <c r="H49" i="10"/>
  <c r="I49" i="10"/>
  <c r="C50" i="10"/>
  <c r="D50" i="10"/>
  <c r="G50" i="10"/>
  <c r="H50" i="10"/>
  <c r="I50" i="10"/>
  <c r="C51" i="10"/>
  <c r="D51" i="10"/>
  <c r="G51" i="10"/>
  <c r="H51" i="10"/>
  <c r="I51" i="10"/>
  <c r="C52" i="10"/>
  <c r="D52" i="10"/>
  <c r="G52" i="10"/>
  <c r="H52" i="10"/>
  <c r="I52" i="10"/>
  <c r="C53" i="10"/>
  <c r="D53" i="10"/>
  <c r="G53" i="10"/>
  <c r="H53" i="10"/>
  <c r="I53" i="10"/>
  <c r="C54" i="10"/>
  <c r="D54" i="10"/>
  <c r="G54" i="10"/>
  <c r="H54" i="10"/>
  <c r="I54" i="10"/>
  <c r="C55" i="10"/>
  <c r="D55" i="10"/>
  <c r="G55" i="10"/>
  <c r="H55" i="10"/>
  <c r="I55" i="10"/>
  <c r="C56" i="10"/>
  <c r="D56" i="10"/>
  <c r="G56" i="10"/>
  <c r="H56" i="10"/>
  <c r="I56" i="10"/>
  <c r="C57" i="10"/>
  <c r="D57" i="10"/>
  <c r="G57" i="10"/>
  <c r="H57" i="10"/>
  <c r="I57" i="10"/>
  <c r="C58" i="10"/>
  <c r="D58" i="10"/>
  <c r="G58" i="10"/>
  <c r="H58" i="10"/>
  <c r="I58" i="10"/>
  <c r="C59" i="10"/>
  <c r="D59" i="10"/>
  <c r="G59" i="10"/>
  <c r="H59" i="10"/>
  <c r="I59" i="10"/>
  <c r="C60" i="10"/>
  <c r="D60" i="10"/>
  <c r="G60" i="10"/>
  <c r="H60" i="10"/>
  <c r="I60" i="10"/>
  <c r="C61" i="10"/>
  <c r="D61" i="10"/>
  <c r="G61" i="10"/>
  <c r="H61" i="10"/>
  <c r="I61" i="10"/>
  <c r="C62" i="10"/>
  <c r="D62" i="10"/>
  <c r="G62" i="10"/>
  <c r="H62" i="10"/>
  <c r="I62" i="10"/>
  <c r="C63" i="10"/>
  <c r="D63" i="10"/>
  <c r="G63" i="10"/>
  <c r="H63" i="10"/>
  <c r="I63" i="10"/>
  <c r="C64" i="10"/>
  <c r="D64" i="10"/>
  <c r="G64" i="10"/>
  <c r="H64" i="10"/>
  <c r="I64" i="10"/>
  <c r="C20" i="10"/>
  <c r="D20" i="10"/>
  <c r="E20" i="10"/>
  <c r="F20" i="10"/>
  <c r="G20" i="10"/>
  <c r="H20" i="10"/>
  <c r="I20" i="10"/>
  <c r="B20" i="10"/>
  <c r="Y28" i="20" l="1"/>
  <c r="Y21" i="20" l="1"/>
  <c r="E19" i="20" l="1"/>
  <c r="Y22" i="20"/>
  <c r="F19" i="20" l="1"/>
  <c r="G19" i="20" s="1"/>
  <c r="Y30" i="20"/>
  <c r="E26" i="20" s="1"/>
  <c r="E27" i="20" s="1"/>
  <c r="D26" i="20" l="1"/>
  <c r="D27" i="20" s="1"/>
  <c r="F26" i="20"/>
  <c r="F27" i="20" s="1"/>
  <c r="H19" i="20"/>
  <c r="G26" i="20"/>
  <c r="G27" i="20" s="1"/>
  <c r="I19" i="20" l="1"/>
  <c r="H26" i="20"/>
  <c r="H27" i="20" s="1"/>
  <c r="J19" i="20" l="1"/>
  <c r="I26" i="20"/>
  <c r="I27" i="20" s="1"/>
  <c r="Y34" i="20"/>
  <c r="Y33" i="20" l="1"/>
  <c r="K19" i="20"/>
  <c r="J26" i="20"/>
  <c r="J27" i="20" s="1"/>
  <c r="K29" i="20" l="1"/>
  <c r="K30" i="20"/>
  <c r="K28" i="20"/>
  <c r="D30" i="20"/>
  <c r="D28" i="20"/>
  <c r="D29" i="20"/>
  <c r="E30" i="20"/>
  <c r="E29" i="20"/>
  <c r="E28" i="20"/>
  <c r="G30" i="20"/>
  <c r="F30" i="20"/>
  <c r="F28" i="20"/>
  <c r="G28" i="20"/>
  <c r="G29" i="20"/>
  <c r="F29" i="20"/>
  <c r="H30" i="20"/>
  <c r="H29" i="20"/>
  <c r="H28" i="20"/>
  <c r="I29" i="20"/>
  <c r="I28" i="20"/>
  <c r="I30" i="20"/>
  <c r="J28" i="20"/>
  <c r="J29" i="20"/>
  <c r="J30" i="20"/>
  <c r="E24" i="20"/>
  <c r="D24" i="20"/>
  <c r="L19" i="20"/>
  <c r="K26" i="20"/>
  <c r="K27" i="20" s="1"/>
  <c r="D44" i="20"/>
  <c r="L29" i="20" l="1"/>
  <c r="L30" i="20"/>
  <c r="L28" i="20"/>
  <c r="M19" i="20"/>
  <c r="L26" i="20"/>
  <c r="L27" i="20" s="1"/>
  <c r="D31" i="20"/>
  <c r="Y24" i="20"/>
  <c r="M30" i="20" l="1"/>
  <c r="M28" i="20"/>
  <c r="M29" i="20"/>
  <c r="Y25" i="20"/>
  <c r="N19" i="20"/>
  <c r="M26" i="20"/>
  <c r="M27" i="20" s="1"/>
  <c r="E44" i="20"/>
  <c r="E31" i="20"/>
  <c r="N29" i="20" l="1"/>
  <c r="N30" i="20"/>
  <c r="N28" i="20"/>
  <c r="O19" i="20"/>
  <c r="N26" i="20"/>
  <c r="N27" i="20" s="1"/>
  <c r="F44" i="20"/>
  <c r="F31" i="20"/>
  <c r="O30" i="20" l="1"/>
  <c r="O28" i="20"/>
  <c r="O29" i="20"/>
  <c r="P19" i="20"/>
  <c r="O26" i="20"/>
  <c r="O27" i="20" s="1"/>
  <c r="G44" i="20"/>
  <c r="G31" i="20"/>
  <c r="P28" i="20" l="1"/>
  <c r="P30" i="20"/>
  <c r="P29" i="20"/>
  <c r="Q19" i="20"/>
  <c r="P26" i="20"/>
  <c r="P27" i="20" s="1"/>
  <c r="H44" i="20"/>
  <c r="H31" i="20"/>
  <c r="F8" i="6"/>
  <c r="E8" i="6"/>
  <c r="Q29" i="20" l="1"/>
  <c r="Q30" i="20"/>
  <c r="Q28" i="20"/>
  <c r="R19" i="20"/>
  <c r="Q26" i="20"/>
  <c r="Q27" i="20" s="1"/>
  <c r="D32" i="20"/>
  <c r="E32" i="20"/>
  <c r="F32" i="20"/>
  <c r="G32" i="20"/>
  <c r="H32" i="20"/>
  <c r="I44" i="20"/>
  <c r="I31" i="20"/>
  <c r="I4" i="12"/>
  <c r="R30" i="20" l="1"/>
  <c r="R28" i="20"/>
  <c r="R29" i="20"/>
  <c r="S19" i="20"/>
  <c r="R26" i="20"/>
  <c r="R27" i="20" s="1"/>
  <c r="I32" i="20"/>
  <c r="J44" i="20"/>
  <c r="J31" i="20"/>
  <c r="S29" i="20" l="1"/>
  <c r="S30" i="20"/>
  <c r="S28" i="20"/>
  <c r="T19" i="20"/>
  <c r="S26" i="20"/>
  <c r="S27" i="20" s="1"/>
  <c r="J32" i="20"/>
  <c r="K44" i="20"/>
  <c r="K31" i="20"/>
  <c r="T29" i="20" l="1"/>
  <c r="T30" i="20"/>
  <c r="T28" i="20"/>
  <c r="U19" i="20"/>
  <c r="T26" i="20"/>
  <c r="T27" i="20" s="1"/>
  <c r="K32" i="20"/>
  <c r="L44" i="20"/>
  <c r="L31" i="20"/>
  <c r="U30" i="20" l="1"/>
  <c r="U28" i="20"/>
  <c r="U29" i="20"/>
  <c r="V19" i="20"/>
  <c r="U26" i="20"/>
  <c r="U27" i="20" s="1"/>
  <c r="L32" i="20"/>
  <c r="M44" i="20"/>
  <c r="M31" i="20"/>
  <c r="V30" i="20" l="1"/>
  <c r="V29" i="20"/>
  <c r="V28" i="20"/>
  <c r="W19" i="20"/>
  <c r="V26" i="20"/>
  <c r="V27" i="20" s="1"/>
  <c r="M32" i="20"/>
  <c r="N44" i="20"/>
  <c r="N31" i="20"/>
  <c r="W30" i="20" l="1"/>
  <c r="W28" i="20"/>
  <c r="W29" i="20"/>
  <c r="W26" i="20"/>
  <c r="W27" i="20" s="1"/>
  <c r="N32" i="20"/>
  <c r="O44" i="20"/>
  <c r="O31" i="20"/>
  <c r="O32" i="20" l="1"/>
  <c r="P44" i="20"/>
  <c r="P31" i="20"/>
  <c r="Q44" i="20" l="1"/>
  <c r="P32" i="20"/>
  <c r="Q31" i="20"/>
  <c r="Q32" i="20" l="1"/>
  <c r="R44" i="20"/>
  <c r="R31" i="20"/>
  <c r="R32" i="20" l="1"/>
  <c r="S44" i="20"/>
  <c r="S31" i="20"/>
  <c r="S32" i="20" l="1"/>
  <c r="T44" i="20"/>
  <c r="T47" i="20" s="1"/>
  <c r="T60" i="20" s="1"/>
  <c r="T31" i="20"/>
  <c r="T32" i="20" l="1"/>
  <c r="U44" i="20"/>
  <c r="U47" i="20" s="1"/>
  <c r="U60" i="20" s="1"/>
  <c r="U31" i="20"/>
  <c r="U32" i="20" l="1"/>
  <c r="V44" i="20"/>
  <c r="V47" i="20" s="1"/>
  <c r="V60" i="20" s="1"/>
  <c r="V31" i="20"/>
  <c r="V32" i="20" l="1"/>
  <c r="W44" i="20"/>
  <c r="W47" i="20" s="1"/>
  <c r="W60" i="20" s="1"/>
  <c r="W31" i="20"/>
  <c r="W32" i="20" l="1"/>
  <c r="D18" i="20"/>
  <c r="D21" i="20" s="1"/>
  <c r="Y23" i="20"/>
  <c r="Y19" i="20"/>
  <c r="Q5" i="20" s="1" a="1"/>
  <c r="Q5" i="20" s="1"/>
  <c r="Y18" i="20"/>
  <c r="Y27" i="20"/>
  <c r="Y26" i="20"/>
  <c r="Y29" i="20" l="1"/>
  <c r="D43" i="20"/>
  <c r="D22" i="20"/>
  <c r="Y20" i="20"/>
  <c r="D56" i="20"/>
  <c r="C56" i="20"/>
  <c r="C43" i="20"/>
  <c r="E18" i="20"/>
  <c r="E20" i="20" l="1" a="1"/>
  <c r="E20" i="20" s="1"/>
  <c r="E46" i="20" s="1"/>
  <c r="D20" i="20" a="1"/>
  <c r="D20" i="20" s="1"/>
  <c r="Q6" i="20" a="1"/>
  <c r="Q6" i="20" s="1"/>
  <c r="Y31" i="20"/>
  <c r="O6" i="20" s="1"/>
  <c r="D23" i="20"/>
  <c r="C45" i="20"/>
  <c r="C49" i="20" s="1"/>
  <c r="C58" i="20"/>
  <c r="C62" i="20" s="1"/>
  <c r="D40" i="20"/>
  <c r="E56" i="20"/>
  <c r="E43" i="20"/>
  <c r="F18" i="20"/>
  <c r="F20" i="20" s="1" a="1"/>
  <c r="F20" i="20" s="1"/>
  <c r="I5" i="20" l="1"/>
  <c r="L5" i="20"/>
  <c r="D47" i="20"/>
  <c r="E59" i="20"/>
  <c r="D48" i="20"/>
  <c r="F46" i="20"/>
  <c r="F59" i="20"/>
  <c r="Y35" i="20"/>
  <c r="I6" i="20" s="1"/>
  <c r="F43" i="20"/>
  <c r="F56" i="20"/>
  <c r="G18" i="20"/>
  <c r="G20" i="20" s="1" a="1"/>
  <c r="G20" i="20" s="1"/>
  <c r="D34" i="20" l="1"/>
  <c r="D36" i="20" s="1"/>
  <c r="D39" i="20"/>
  <c r="D38" i="20"/>
  <c r="G43" i="20"/>
  <c r="G56" i="20"/>
  <c r="H18" i="20"/>
  <c r="H20" i="20" s="1" a="1"/>
  <c r="H20" i="20" s="1"/>
  <c r="D33" i="20" l="1"/>
  <c r="D35" i="20" s="1"/>
  <c r="H43" i="20"/>
  <c r="H56" i="20"/>
  <c r="I18" i="20"/>
  <c r="D60" i="20" l="1"/>
  <c r="I56" i="20"/>
  <c r="I43" i="20"/>
  <c r="J18" i="20"/>
  <c r="J56" i="20" l="1"/>
  <c r="J43" i="20"/>
  <c r="K18" i="20"/>
  <c r="K56" i="20" l="1"/>
  <c r="K43" i="20"/>
  <c r="L18" i="20"/>
  <c r="L56" i="20" l="1"/>
  <c r="L43" i="20"/>
  <c r="M18" i="20"/>
  <c r="M43" i="20" l="1"/>
  <c r="M56" i="20"/>
  <c r="N18" i="20"/>
  <c r="N43" i="20" l="1"/>
  <c r="N56" i="20"/>
  <c r="O18" i="20"/>
  <c r="O43" i="20" l="1"/>
  <c r="O56" i="20"/>
  <c r="P18" i="20"/>
  <c r="P56" i="20" l="1"/>
  <c r="P43" i="20"/>
  <c r="Q18" i="20"/>
  <c r="Q56" i="20" l="1"/>
  <c r="Q43" i="20"/>
  <c r="R18" i="20"/>
  <c r="T33" i="20" l="1"/>
  <c r="T35" i="20" s="1"/>
  <c r="R43" i="20"/>
  <c r="R56" i="20"/>
  <c r="S18" i="20"/>
  <c r="S56" i="20" l="1"/>
  <c r="S43" i="20"/>
  <c r="T18" i="20"/>
  <c r="T56" i="20" l="1"/>
  <c r="T43" i="20"/>
  <c r="U18" i="20"/>
  <c r="U56" i="20" l="1"/>
  <c r="U43" i="20"/>
  <c r="V18" i="20"/>
  <c r="V43" i="20" l="1"/>
  <c r="V56" i="20"/>
  <c r="W18" i="20"/>
  <c r="W43" i="20" l="1"/>
  <c r="W56" i="20"/>
  <c r="E22" i="20" l="1"/>
  <c r="E21" i="20"/>
  <c r="E23" i="20" l="1"/>
  <c r="F21" i="20"/>
  <c r="E33" i="20" l="1"/>
  <c r="E35" i="20" s="1"/>
  <c r="E40" i="20"/>
  <c r="E38" i="20"/>
  <c r="G21" i="20"/>
  <c r="E47" i="20" l="1"/>
  <c r="E60" i="20" s="1"/>
  <c r="E48" i="20"/>
  <c r="E49" i="20" l="1"/>
  <c r="H21" i="20"/>
  <c r="I21" i="20" l="1"/>
  <c r="J21" i="20" l="1"/>
  <c r="F22" i="20"/>
  <c r="F24" i="20" s="1"/>
  <c r="F23" i="20" l="1"/>
  <c r="F40" i="20"/>
  <c r="G22" i="20"/>
  <c r="G24" i="20" s="1"/>
  <c r="F48" i="20" l="1"/>
  <c r="F47" i="20" s="1"/>
  <c r="F60" i="20" s="1"/>
  <c r="F33" i="20"/>
  <c r="F35" i="20" s="1"/>
  <c r="E39" i="20"/>
  <c r="E34" i="20"/>
  <c r="E36" i="20" s="1"/>
  <c r="F34" i="20"/>
  <c r="F36" i="20" s="1"/>
  <c r="F39" i="20"/>
  <c r="K21" i="20"/>
  <c r="G23" i="20"/>
  <c r="G40" i="20"/>
  <c r="F38" i="20"/>
  <c r="L21" i="20"/>
  <c r="H22" i="20"/>
  <c r="H24" i="20" s="1"/>
  <c r="F49" i="20" l="1"/>
  <c r="G47" i="20"/>
  <c r="G60" i="20" s="1"/>
  <c r="G48" i="20"/>
  <c r="H23" i="20"/>
  <c r="H33" i="20" s="1"/>
  <c r="H35" i="20" s="1"/>
  <c r="G38" i="20"/>
  <c r="H40" i="20"/>
  <c r="G33" i="20"/>
  <c r="G35" i="20" s="1"/>
  <c r="M21" i="20"/>
  <c r="I22" i="20"/>
  <c r="I24" i="20" s="1"/>
  <c r="H48" i="20" l="1"/>
  <c r="H47" i="20" s="1"/>
  <c r="H60" i="20" s="1"/>
  <c r="H38" i="20"/>
  <c r="I23" i="20"/>
  <c r="I38" i="20" s="1"/>
  <c r="G34" i="20"/>
  <c r="G36" i="20" s="1"/>
  <c r="G39" i="20"/>
  <c r="I40" i="20"/>
  <c r="N21" i="20"/>
  <c r="J22" i="20"/>
  <c r="J24" i="20" s="1"/>
  <c r="I47" i="20" l="1"/>
  <c r="I60" i="20" s="1"/>
  <c r="I48" i="20"/>
  <c r="I33" i="20"/>
  <c r="I35" i="20" s="1"/>
  <c r="J23" i="20"/>
  <c r="J33" i="20" s="1"/>
  <c r="J35" i="20" s="1"/>
  <c r="H39" i="20"/>
  <c r="H34" i="20"/>
  <c r="H36" i="20" s="1"/>
  <c r="J40" i="20"/>
  <c r="O21" i="20"/>
  <c r="K22" i="20"/>
  <c r="K24" i="20" s="1"/>
  <c r="J47" i="20" l="1"/>
  <c r="J60" i="20" s="1"/>
  <c r="J48" i="20"/>
  <c r="J38" i="20"/>
  <c r="J34" i="20"/>
  <c r="J36" i="20" s="1"/>
  <c r="J39" i="20"/>
  <c r="I34" i="20"/>
  <c r="I36" i="20" s="1"/>
  <c r="I39" i="20"/>
  <c r="K23" i="20"/>
  <c r="K40" i="20"/>
  <c r="P21" i="20"/>
  <c r="L22" i="20"/>
  <c r="L24" i="20" s="1"/>
  <c r="K48" i="20" l="1"/>
  <c r="K47" i="20" s="1"/>
  <c r="K60" i="20" s="1"/>
  <c r="K33" i="20"/>
  <c r="K35" i="20" s="1"/>
  <c r="K34" i="20"/>
  <c r="K36" i="20" s="1"/>
  <c r="K39" i="20"/>
  <c r="L23" i="20"/>
  <c r="L40" i="20"/>
  <c r="K38" i="20"/>
  <c r="Q21" i="20"/>
  <c r="M22" i="20"/>
  <c r="M24" i="20" s="1"/>
  <c r="L48" i="20" l="1"/>
  <c r="L47" i="20" s="1"/>
  <c r="L60" i="20" s="1"/>
  <c r="L38" i="20"/>
  <c r="L34" i="20"/>
  <c r="L36" i="20" s="1"/>
  <c r="L39" i="20"/>
  <c r="M40" i="20"/>
  <c r="M23" i="20"/>
  <c r="L33" i="20"/>
  <c r="L35" i="20" s="1"/>
  <c r="R21" i="20"/>
  <c r="N22" i="20"/>
  <c r="N24" i="20" s="1"/>
  <c r="M48" i="20" l="1"/>
  <c r="N23" i="20"/>
  <c r="M38" i="20"/>
  <c r="M33" i="20"/>
  <c r="M35" i="20" s="1"/>
  <c r="N40" i="20"/>
  <c r="S21" i="20"/>
  <c r="O22" i="20"/>
  <c r="O24" i="20" s="1"/>
  <c r="M47" i="20" l="1"/>
  <c r="M60" i="20" s="1"/>
  <c r="N48" i="20"/>
  <c r="N47" i="20" s="1"/>
  <c r="N33" i="20"/>
  <c r="N35" i="20" s="1"/>
  <c r="N38" i="20"/>
  <c r="O23" i="20"/>
  <c r="O33" i="20" s="1"/>
  <c r="O35" i="20" s="1"/>
  <c r="M34" i="20"/>
  <c r="M36" i="20" s="1"/>
  <c r="M39" i="20"/>
  <c r="O40" i="20"/>
  <c r="O48" i="20" s="1"/>
  <c r="O47" i="20" s="1"/>
  <c r="T21" i="20"/>
  <c r="P22" i="20"/>
  <c r="P24" i="20" s="1"/>
  <c r="N60" i="20" l="1"/>
  <c r="O60" i="20"/>
  <c r="O38" i="20"/>
  <c r="P23" i="20"/>
  <c r="P38" i="20" s="1"/>
  <c r="N34" i="20"/>
  <c r="N36" i="20" s="1"/>
  <c r="N39" i="20"/>
  <c r="P40" i="20"/>
  <c r="U21" i="20"/>
  <c r="Q22" i="20"/>
  <c r="Q24" i="20" s="1"/>
  <c r="P48" i="20" l="1"/>
  <c r="P47" i="20" s="1"/>
  <c r="P60" i="20" s="1"/>
  <c r="P33" i="20"/>
  <c r="P35" i="20" s="1"/>
  <c r="Q23" i="20"/>
  <c r="Q33" i="20" s="1"/>
  <c r="Q35" i="20" s="1"/>
  <c r="P34" i="20"/>
  <c r="P36" i="20" s="1"/>
  <c r="P39" i="20"/>
  <c r="O34" i="20"/>
  <c r="O36" i="20" s="1"/>
  <c r="O39" i="20"/>
  <c r="Q40" i="20"/>
  <c r="V21" i="20"/>
  <c r="R22" i="20"/>
  <c r="R24" i="20" s="1"/>
  <c r="Q48" i="20" l="1"/>
  <c r="Q47" i="20"/>
  <c r="Q60" i="20" s="1"/>
  <c r="Q38" i="20"/>
  <c r="R23" i="20"/>
  <c r="R33" i="20" s="1"/>
  <c r="R35" i="20" s="1"/>
  <c r="Q34" i="20"/>
  <c r="Q36" i="20" s="1"/>
  <c r="Q39" i="20"/>
  <c r="R40" i="20"/>
  <c r="W21" i="20"/>
  <c r="S22" i="20"/>
  <c r="S24" i="20" s="1"/>
  <c r="R48" i="20" l="1"/>
  <c r="R47" i="20" s="1"/>
  <c r="R60" i="20" s="1"/>
  <c r="R38" i="20"/>
  <c r="S23" i="20"/>
  <c r="S38" i="20" s="1"/>
  <c r="S33" i="20"/>
  <c r="S35" i="20" s="1"/>
  <c r="R34" i="20"/>
  <c r="R36" i="20" s="1"/>
  <c r="R39" i="20"/>
  <c r="S40" i="20"/>
  <c r="T22" i="20"/>
  <c r="T24" i="20" s="1"/>
  <c r="S48" i="20" l="1"/>
  <c r="S47" i="20"/>
  <c r="S60" i="20" s="1"/>
  <c r="T23" i="20"/>
  <c r="T38" i="20"/>
  <c r="S34" i="20"/>
  <c r="S36" i="20" s="1"/>
  <c r="S39" i="20"/>
  <c r="T40" i="20"/>
  <c r="U22" i="20"/>
  <c r="U24" i="20" s="1"/>
  <c r="C53" i="20" l="1"/>
  <c r="T48" i="20"/>
  <c r="T34" i="20"/>
  <c r="T36" i="20" s="1"/>
  <c r="T39" i="20"/>
  <c r="U40" i="20"/>
  <c r="U48" i="20" s="1"/>
  <c r="V22" i="20"/>
  <c r="V24" i="20" s="1"/>
  <c r="V40" i="20" l="1"/>
  <c r="V48" i="20" s="1"/>
  <c r="W22" i="20"/>
  <c r="W24" i="20" s="1"/>
  <c r="W40" i="20" l="1"/>
  <c r="W48" i="20" s="1"/>
  <c r="U23" i="20" l="1"/>
  <c r="U33" i="20"/>
  <c r="U39" i="20"/>
  <c r="U35" i="20"/>
  <c r="U38" i="20"/>
  <c r="U34" i="20" l="1"/>
  <c r="U36" i="20" s="1"/>
  <c r="V38" i="20"/>
  <c r="V23" i="20"/>
  <c r="V39" i="20"/>
  <c r="V35" i="20"/>
  <c r="V33" i="20"/>
  <c r="V34" i="20" l="1"/>
  <c r="V36" i="20" s="1"/>
  <c r="W33" i="20"/>
  <c r="W23" i="20"/>
  <c r="W39" i="20"/>
  <c r="W35" i="20"/>
  <c r="W38" i="20"/>
  <c r="L6" i="20" l="1"/>
  <c r="W34" i="20"/>
  <c r="W36" i="20" s="1"/>
  <c r="O5" i="20" s="1"/>
  <c r="J11" i="20" s="1"/>
  <c r="P20" i="20" l="1" a="1"/>
  <c r="P20" i="20" s="1"/>
  <c r="O20" i="20" a="1"/>
  <c r="O20" i="20" s="1"/>
  <c r="S20" i="20" a="1"/>
  <c r="S20" i="20" s="1"/>
  <c r="N20" i="20" a="1"/>
  <c r="N20" i="20" s="1"/>
  <c r="V20" i="20" a="1"/>
  <c r="V20" i="20" s="1"/>
  <c r="Q20" i="20" a="1"/>
  <c r="Q20" i="20" s="1"/>
  <c r="I20" i="20" a="1"/>
  <c r="I20" i="20" s="1"/>
  <c r="I37" i="20" s="1"/>
  <c r="L20" i="20" a="1"/>
  <c r="L20" i="20" s="1"/>
  <c r="L37" i="20" s="1"/>
  <c r="J20" i="20" a="1"/>
  <c r="J20" i="20" s="1"/>
  <c r="J37" i="20" s="1"/>
  <c r="W20" i="20" a="1"/>
  <c r="W20" i="20" s="1"/>
  <c r="K20" i="20" a="1"/>
  <c r="K20" i="20" s="1"/>
  <c r="K37" i="20" s="1"/>
  <c r="T20" i="20" a="1"/>
  <c r="T20" i="20" s="1"/>
  <c r="U20" i="20" a="1"/>
  <c r="U20" i="20" s="1"/>
  <c r="M20" i="20" a="1"/>
  <c r="M20" i="20" s="1"/>
  <c r="R20" i="20" a="1"/>
  <c r="R20" i="20" s="1"/>
  <c r="G37" i="20"/>
  <c r="H37" i="20"/>
  <c r="D46" i="20"/>
  <c r="D49" i="20" s="1"/>
  <c r="F37" i="20"/>
  <c r="E37" i="20"/>
  <c r="D59" i="20"/>
  <c r="D37" i="20"/>
  <c r="J10" i="20" l="1"/>
  <c r="Q7" i="20"/>
  <c r="T59" i="20"/>
  <c r="T46" i="20"/>
  <c r="T49" i="20" s="1"/>
  <c r="T37" i="20"/>
  <c r="L59" i="20"/>
  <c r="L46" i="20"/>
  <c r="L49" i="20" s="1"/>
  <c r="S59" i="20"/>
  <c r="S46" i="20"/>
  <c r="S49" i="20" s="1"/>
  <c r="S37" i="20"/>
  <c r="K59" i="20"/>
  <c r="K46" i="20"/>
  <c r="K49" i="20" s="1"/>
  <c r="R59" i="20"/>
  <c r="R46" i="20"/>
  <c r="R49" i="20" s="1"/>
  <c r="R37" i="20"/>
  <c r="J46" i="20"/>
  <c r="J49" i="20" s="1"/>
  <c r="J59" i="20"/>
  <c r="Q46" i="20"/>
  <c r="Q49" i="20" s="1"/>
  <c r="Q59" i="20"/>
  <c r="Q37" i="20"/>
  <c r="I59" i="20"/>
  <c r="I46" i="20"/>
  <c r="I49" i="20" s="1"/>
  <c r="P59" i="20"/>
  <c r="P46" i="20"/>
  <c r="P49" i="20" s="1"/>
  <c r="P37" i="20"/>
  <c r="H59" i="20"/>
  <c r="H46" i="20"/>
  <c r="H49" i="20" s="1"/>
  <c r="W46" i="20"/>
  <c r="W49" i="20" s="1"/>
  <c r="W59" i="20"/>
  <c r="W37" i="20"/>
  <c r="O46" i="20"/>
  <c r="O49" i="20" s="1"/>
  <c r="O59" i="20"/>
  <c r="O37" i="20"/>
  <c r="G59" i="20"/>
  <c r="G46" i="20"/>
  <c r="G49" i="20" s="1"/>
  <c r="V46" i="20"/>
  <c r="V49" i="20" s="1"/>
  <c r="V59" i="20"/>
  <c r="V37" i="20"/>
  <c r="N59" i="20"/>
  <c r="N46" i="20"/>
  <c r="N49" i="20" s="1"/>
  <c r="N37" i="20"/>
  <c r="U46" i="20"/>
  <c r="U49" i="20" s="1"/>
  <c r="U59" i="20"/>
  <c r="U37" i="20"/>
  <c r="M46" i="20"/>
  <c r="M49" i="20" s="1"/>
  <c r="M59" i="20"/>
  <c r="M37" i="20"/>
  <c r="J9" i="20"/>
  <c r="J12" i="20" s="1"/>
  <c r="M61" i="20" l="1"/>
  <c r="C51" i="20"/>
  <c r="C52" i="20" s="1"/>
  <c r="D61" i="20"/>
  <c r="D62" i="20" s="1"/>
  <c r="G61" i="20"/>
  <c r="G62" i="20" s="1"/>
  <c r="E61" i="20"/>
  <c r="E62" i="20" s="1"/>
  <c r="I61" i="20"/>
  <c r="I62" i="20" s="1"/>
  <c r="F61" i="20"/>
  <c r="F62" i="20" s="1"/>
  <c r="V61" i="20"/>
  <c r="V62" i="20" s="1"/>
  <c r="H61" i="20" l="1"/>
  <c r="H62" i="20" s="1"/>
  <c r="J61" i="20"/>
  <c r="J62" i="20" s="1"/>
  <c r="L61" i="20"/>
  <c r="L62" i="20" s="1"/>
  <c r="K61" i="20"/>
  <c r="K62" i="20" s="1"/>
  <c r="M62" i="20"/>
  <c r="N61" i="20"/>
  <c r="N62" i="20" s="1"/>
  <c r="O61" i="20"/>
  <c r="O62" i="20" s="1"/>
  <c r="T61" i="20"/>
  <c r="T62" i="20" s="1"/>
  <c r="U61" i="20"/>
  <c r="U62" i="20" s="1"/>
  <c r="S61" i="20"/>
  <c r="S62" i="20" s="1"/>
  <c r="R61" i="20"/>
  <c r="R62" i="20" s="1"/>
  <c r="P61" i="20"/>
  <c r="P62" i="20" s="1"/>
  <c r="W61" i="20"/>
  <c r="W62" i="20" s="1"/>
  <c r="Q61" i="20"/>
  <c r="Q62" i="20" s="1"/>
  <c r="C64" i="20" l="1"/>
  <c r="C65" i="20" s="1"/>
</calcChain>
</file>

<file path=xl/comments1.xml><?xml version="1.0" encoding="utf-8"?>
<comments xmlns="http://schemas.openxmlformats.org/spreadsheetml/2006/main">
  <authors>
    <author>tc={23E7942B-74DB-4E33-82E9-98EDD56F012C}</author>
    <author>tc={E4F48549-6CFD-43B9-AD76-EB88B6DEEF62}</author>
    <author>tc={31B9498B-FDB0-4614-8BEA-0CBA74458CC8}</author>
  </authors>
  <commentList>
    <comment ref="I2" authorId="0" shapeId="0">
      <text>
        <r>
          <rPr>
            <sz val="11"/>
            <color theme="1"/>
            <rFont val="Calibri"/>
            <family val="2"/>
            <scheme val="minor"/>
          </rPr>
  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S10 et S10B uniquement</t>
        </r>
      </text>
    </comment>
    <comment ref="E8" authorId="1" shapeId="0">
      <text>
        <r>
          <rPr>
            <sz val="11"/>
            <color theme="1"/>
            <rFont val="Calibri"/>
            <family val="2"/>
            <scheme val="minor"/>
          </rPr>
  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Moyenne BDD OA 2019</t>
        </r>
      </text>
    </comment>
    <comment ref="F8" authorId="2" shapeId="0">
      <text>
        <r>
          <rPr>
            <sz val="11"/>
            <color theme="1"/>
            <rFont val="Calibri"/>
            <family val="2"/>
            <scheme val="minor"/>
          </rPr>
  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Moyenne BDD OA 2019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<sst xmlns="http://schemas.openxmlformats.org/spreadsheetml/2006/main" count="553" uniqueCount="313">
  <si>
    <t>Valeurs à renseigner</t>
  </si>
  <si>
    <t>Valeurs calculées</t>
  </si>
  <si>
    <t>Paramètres d'entrée (TRI projet)</t>
  </si>
  <si>
    <t>Paramètres calculés et affichés</t>
  </si>
  <si>
    <t>MC</t>
  </si>
  <si>
    <t>Zone géographique</t>
  </si>
  <si>
    <t>Coeff. A</t>
  </si>
  <si>
    <t>Val d'Oise</t>
  </si>
  <si>
    <t>Département</t>
  </si>
  <si>
    <t>Coeff. B</t>
  </si>
  <si>
    <t>Disponibilité de référence, en Hepp/an</t>
  </si>
  <si>
    <t>S06</t>
  </si>
  <si>
    <t>Code contrat</t>
  </si>
  <si>
    <t>non intégré au bâti</t>
  </si>
  <si>
    <t>typologie_détaillée détaillée</t>
  </si>
  <si>
    <t>Tarif révisé calculé théorique</t>
  </si>
  <si>
    <t>Puissance</t>
  </si>
  <si>
    <t>Date MES</t>
  </si>
  <si>
    <t>Date DCR</t>
  </si>
  <si>
    <t>€/MWh</t>
  </si>
  <si>
    <t>Perte annuelle de rendement</t>
  </si>
  <si>
    <t>Coefficient d'indexation L' post révision</t>
  </si>
  <si>
    <t>Inflation annuelle future</t>
  </si>
  <si>
    <t>Termes de calcul intermédiaires (tarif révisé)</t>
  </si>
  <si>
    <t>année</t>
  </si>
  <si>
    <t>Région</t>
  </si>
  <si>
    <t>i</t>
  </si>
  <si>
    <t>typologie_détaillée simplifiée CAPEX</t>
  </si>
  <si>
    <t>typologie_détaillée simplifiée OPEX / Productible</t>
  </si>
  <si>
    <t>]10000;12000]</t>
  </si>
  <si>
    <t>Plage puissance</t>
  </si>
  <si>
    <t>Trimestre MES</t>
  </si>
  <si>
    <r>
      <t>L</t>
    </r>
    <r>
      <rPr>
        <vertAlign val="subscript"/>
        <sz val="11"/>
        <color theme="1"/>
        <rFont val="Calibri"/>
        <family val="2"/>
        <scheme val="minor"/>
      </rPr>
      <t>i</t>
    </r>
  </si>
  <si>
    <t>Coefficient d'indexation L avant révision</t>
  </si>
  <si>
    <r>
      <t>L'</t>
    </r>
    <r>
      <rPr>
        <vertAlign val="subscript"/>
        <sz val="11"/>
        <color theme="1"/>
        <rFont val="Calibri"/>
        <family val="2"/>
        <scheme val="minor"/>
      </rPr>
      <t>i</t>
    </r>
  </si>
  <si>
    <t>% des OPEX en année n</t>
  </si>
  <si>
    <t>% des OPEX en année +1</t>
  </si>
  <si>
    <r>
      <t>(1 + τ)</t>
    </r>
    <r>
      <rPr>
        <vertAlign val="superscript"/>
        <sz val="11"/>
        <color theme="1"/>
        <rFont val="Calibri"/>
        <family val="2"/>
      </rPr>
      <t>i</t>
    </r>
  </si>
  <si>
    <t>Tarif de base fixé par l'arrêté</t>
  </si>
  <si>
    <r>
      <t>(1 - Pr)</t>
    </r>
    <r>
      <rPr>
        <vertAlign val="superscript"/>
        <sz val="11"/>
        <color theme="1"/>
        <rFont val="Calibri"/>
        <family val="2"/>
      </rPr>
      <t>i-1</t>
    </r>
  </si>
  <si>
    <t>Coefficient de modulation R</t>
  </si>
  <si>
    <r>
      <t>(1 - Pr)</t>
    </r>
    <r>
      <rPr>
        <vertAlign val="superscript"/>
        <sz val="11"/>
        <color theme="1"/>
        <rFont val="Calibri"/>
        <family val="2"/>
      </rPr>
      <t>i-1</t>
    </r>
    <r>
      <rPr>
        <sz val="11"/>
        <color theme="1"/>
        <rFont val="Calibri"/>
        <family val="2"/>
      </rPr>
      <t>/(1 + τ)</t>
    </r>
    <r>
      <rPr>
        <vertAlign val="superscript"/>
        <sz val="11"/>
        <color theme="1"/>
        <rFont val="Calibri"/>
        <family val="2"/>
      </rPr>
      <t>i</t>
    </r>
  </si>
  <si>
    <t>Coefficient d'indexation K</t>
  </si>
  <si>
    <r>
      <t>L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x (1 - Pr)</t>
    </r>
    <r>
      <rPr>
        <vertAlign val="superscript"/>
        <sz val="11"/>
        <color theme="1"/>
        <rFont val="Calibri"/>
        <family val="2"/>
        <scheme val="minor"/>
      </rPr>
      <t>i-1</t>
    </r>
  </si>
  <si>
    <t>Tarif initial de l'installation, en €/MWh</t>
  </si>
  <si>
    <r>
      <t>L'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x (1 - Pr)</t>
    </r>
    <r>
      <rPr>
        <vertAlign val="superscript"/>
        <sz val="11"/>
        <color theme="1"/>
        <rFont val="Calibri"/>
        <family val="2"/>
        <scheme val="minor"/>
      </rPr>
      <t>i-1</t>
    </r>
  </si>
  <si>
    <t>CAPEX de référence, en €/Wc</t>
  </si>
  <si>
    <r>
      <t>L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x (1 - Pr)</t>
    </r>
    <r>
      <rPr>
        <vertAlign val="superscript"/>
        <sz val="11"/>
        <color theme="1"/>
        <rFont val="Calibri"/>
        <family val="2"/>
        <scheme val="minor"/>
      </rPr>
      <t>i-1</t>
    </r>
    <r>
      <rPr>
        <sz val="11"/>
        <color theme="1"/>
        <rFont val="Calibri"/>
        <family val="2"/>
        <scheme val="minor"/>
      </rPr>
      <t xml:space="preserve"> / (1 + τ)</t>
    </r>
    <r>
      <rPr>
        <vertAlign val="superscript"/>
        <sz val="11"/>
        <color theme="1"/>
        <rFont val="Calibri"/>
        <family val="2"/>
        <scheme val="minor"/>
      </rPr>
      <t>i</t>
    </r>
  </si>
  <si>
    <t>Rentabilité cible</t>
  </si>
  <si>
    <r>
      <t>L'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x (1 - Pr)</t>
    </r>
    <r>
      <rPr>
        <vertAlign val="superscript"/>
        <sz val="11"/>
        <color theme="1"/>
        <rFont val="Calibri"/>
        <family val="2"/>
        <scheme val="minor"/>
      </rPr>
      <t xml:space="preserve">i-1 </t>
    </r>
    <r>
      <rPr>
        <sz val="11"/>
        <color theme="1"/>
        <rFont val="Calibri"/>
        <family val="2"/>
        <scheme val="minor"/>
      </rPr>
      <t>/ (1 + τ)</t>
    </r>
    <r>
      <rPr>
        <vertAlign val="superscript"/>
        <sz val="11"/>
        <color theme="1"/>
        <rFont val="Calibri"/>
        <family val="2"/>
        <scheme val="minor"/>
      </rPr>
      <t>i</t>
    </r>
  </si>
  <si>
    <r>
      <t>O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/ (1 + τ)</t>
    </r>
    <r>
      <rPr>
        <vertAlign val="superscript"/>
        <sz val="11"/>
        <color theme="1"/>
        <rFont val="Calibri"/>
        <family val="2"/>
        <scheme val="minor"/>
      </rPr>
      <t>i</t>
    </r>
  </si>
  <si>
    <t>date révision</t>
  </si>
  <si>
    <r>
      <t>L</t>
    </r>
    <r>
      <rPr>
        <vertAlign val="subscript"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 xml:space="preserve"> x (1 - Pr)</t>
    </r>
    <r>
      <rPr>
        <vertAlign val="superscript"/>
        <sz val="11"/>
        <color theme="1"/>
        <rFont val="Calibri"/>
        <family val="2"/>
        <scheme val="minor"/>
      </rPr>
      <t>k-1</t>
    </r>
    <r>
      <rPr>
        <sz val="11"/>
        <color theme="1"/>
        <rFont val="Calibri"/>
        <family val="2"/>
        <scheme val="minor"/>
      </rPr>
      <t xml:space="preserve"> / (1 + τ)</t>
    </r>
    <r>
      <rPr>
        <vertAlign val="superscript"/>
        <sz val="11"/>
        <color theme="1"/>
        <rFont val="Calibri"/>
        <family val="2"/>
        <scheme val="minor"/>
      </rPr>
      <t>k</t>
    </r>
  </si>
  <si>
    <t>année k du contrat</t>
  </si>
  <si>
    <r>
      <t>L'</t>
    </r>
    <r>
      <rPr>
        <vertAlign val="subscript"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 xml:space="preserve"> x (1 - Pr)</t>
    </r>
    <r>
      <rPr>
        <vertAlign val="superscript"/>
        <sz val="11"/>
        <color theme="1"/>
        <rFont val="Calibri"/>
        <family val="2"/>
        <scheme val="minor"/>
      </rPr>
      <t>k-1</t>
    </r>
    <r>
      <rPr>
        <sz val="11"/>
        <color theme="1"/>
        <rFont val="Calibri"/>
        <family val="2"/>
        <scheme val="minor"/>
      </rPr>
      <t xml:space="preserve"> / (1 + τ)</t>
    </r>
    <r>
      <rPr>
        <vertAlign val="superscript"/>
        <sz val="11"/>
        <color theme="1"/>
        <rFont val="Calibri"/>
        <family val="2"/>
        <scheme val="minor"/>
      </rPr>
      <t>k</t>
    </r>
  </si>
  <si>
    <t>année k %tref</t>
  </si>
  <si>
    <t>année k %trev</t>
  </si>
  <si>
    <t>BP : absence de révision (€/MWc)</t>
  </si>
  <si>
    <t>n</t>
  </si>
  <si>
    <t>CAPEX</t>
  </si>
  <si>
    <t>OPEX</t>
  </si>
  <si>
    <t>Pré-rév</t>
  </si>
  <si>
    <t>Post-rév</t>
  </si>
  <si>
    <t>EBE</t>
  </si>
  <si>
    <t>TRI</t>
  </si>
  <si>
    <t>∆cible</t>
  </si>
  <si>
    <t>Trefk</t>
  </si>
  <si>
    <t>BP : révision arrêté tarifaire (€/MWc)</t>
  </si>
  <si>
    <t>Post-rev</t>
  </si>
  <si>
    <t>Tarifs de base / généralités</t>
  </si>
  <si>
    <t>Code tarif</t>
  </si>
  <si>
    <t>S10</t>
  </si>
  <si>
    <t>S10B</t>
  </si>
  <si>
    <t>Dispo max</t>
  </si>
  <si>
    <t>Coeff R</t>
  </si>
  <si>
    <t>au sol Axe Pivotant = 0</t>
  </si>
  <si>
    <t>1ptA0s</t>
  </si>
  <si>
    <t>oui</t>
  </si>
  <si>
    <t>au sol Axe Pivotant = 1</t>
  </si>
  <si>
    <t>1ptA1s</t>
  </si>
  <si>
    <t>au sol Axe Pivotant = 2</t>
  </si>
  <si>
    <t>1ptA2s</t>
  </si>
  <si>
    <t>au sol Axe Pivotant = 3 (thermodynamique)</t>
  </si>
  <si>
    <t>1ptA3s</t>
  </si>
  <si>
    <t>intégré au bâti Autre</t>
  </si>
  <si>
    <t>1ptAxb</t>
  </si>
  <si>
    <t>non</t>
  </si>
  <si>
    <t>mixte (diverses sortes d'intégré, ou intégré et non intégré)</t>
  </si>
  <si>
    <t>1ptAxm</t>
  </si>
  <si>
    <t>1ptAxn</t>
  </si>
  <si>
    <t>intégré au bâti Simplifié</t>
  </si>
  <si>
    <t>1ptAxs</t>
  </si>
  <si>
    <t>ZNI</t>
  </si>
  <si>
    <t>Trimestre</t>
  </si>
  <si>
    <t>T1 2006</t>
  </si>
  <si>
    <t>T2 2006</t>
  </si>
  <si>
    <t>T3 2006</t>
  </si>
  <si>
    <t>T4 2006</t>
  </si>
  <si>
    <t>T1 2007</t>
  </si>
  <si>
    <t>T2 2007</t>
  </si>
  <si>
    <t>T3 2007</t>
  </si>
  <si>
    <t>T4 2007</t>
  </si>
  <si>
    <t>T1 2008</t>
  </si>
  <si>
    <t>T2 2008</t>
  </si>
  <si>
    <t>T3 2008</t>
  </si>
  <si>
    <t>T4 2008</t>
  </si>
  <si>
    <t>T1 2009</t>
  </si>
  <si>
    <t>T2 2009</t>
  </si>
  <si>
    <t>T3 2009</t>
  </si>
  <si>
    <t>T4 2009</t>
  </si>
  <si>
    <t>T1 2010</t>
  </si>
  <si>
    <t>T2 2010</t>
  </si>
  <si>
    <t>T3 2010</t>
  </si>
  <si>
    <t>T4 2010</t>
  </si>
  <si>
    <t>T1 2011</t>
  </si>
  <si>
    <t>T2 2011</t>
  </si>
  <si>
    <t>T3 2011</t>
  </si>
  <si>
    <t>T4 2011</t>
  </si>
  <si>
    <t>T1 2012</t>
  </si>
  <si>
    <t>T2 2012</t>
  </si>
  <si>
    <t>T3 2012</t>
  </si>
  <si>
    <t>T4 2012</t>
  </si>
  <si>
    <t>T1 2013</t>
  </si>
  <si>
    <t>T2 2013</t>
  </si>
  <si>
    <t>T3 2013</t>
  </si>
  <si>
    <t>T4 2013</t>
  </si>
  <si>
    <t>T1 2014</t>
  </si>
  <si>
    <t>T2 2014</t>
  </si>
  <si>
    <t>T3 2014</t>
  </si>
  <si>
    <t>T4 2014</t>
  </si>
  <si>
    <t>T1 2015</t>
  </si>
  <si>
    <t>T2 2015</t>
  </si>
  <si>
    <t>T3 2015</t>
  </si>
  <si>
    <t>T4 2015</t>
  </si>
  <si>
    <t>T1 2016</t>
  </si>
  <si>
    <t>T2 2016</t>
  </si>
  <si>
    <t>T3 2016</t>
  </si>
  <si>
    <t>T4 2016</t>
  </si>
  <si>
    <t>T1 2017</t>
  </si>
  <si>
    <t>T2 2017</t>
  </si>
  <si>
    <t>T3 2017</t>
  </si>
  <si>
    <t>T4 2017</t>
  </si>
  <si>
    <t>T1 2018</t>
  </si>
  <si>
    <t>T2 2018</t>
  </si>
  <si>
    <t>T3 2018</t>
  </si>
  <si>
    <t>T4 2018</t>
  </si>
  <si>
    <t>T1 2019</t>
  </si>
  <si>
    <t>T2 2019</t>
  </si>
  <si>
    <t>T3 2019</t>
  </si>
  <si>
    <t>T4 2019</t>
  </si>
  <si>
    <t>CAPEX (€/Wc)</t>
  </si>
  <si>
    <t>Sol</t>
  </si>
  <si>
    <t>Surimposé</t>
  </si>
  <si>
    <t>Intégration simplifié au bati</t>
  </si>
  <si>
    <t>Intégration au bati</t>
  </si>
  <si>
    <t>]250;1000]</t>
  </si>
  <si>
    <t>]1000;2500]</t>
  </si>
  <si>
    <t>]2500;10000]</t>
  </si>
  <si>
    <t>]10000;120000]</t>
  </si>
  <si>
    <t>Coeff multiplicateur</t>
  </si>
  <si>
    <t>T1 2005</t>
  </si>
  <si>
    <t>Corse</t>
  </si>
  <si>
    <t>T2 2005</t>
  </si>
  <si>
    <t>Guadeloupe</t>
  </si>
  <si>
    <t>T3 2005</t>
  </si>
  <si>
    <t>Guyane</t>
  </si>
  <si>
    <t>T4 2005</t>
  </si>
  <si>
    <t>La Réunion</t>
  </si>
  <si>
    <t>Martinique</t>
  </si>
  <si>
    <t>Mayotte</t>
  </si>
  <si>
    <t>sol</t>
  </si>
  <si>
    <t>batiment</t>
  </si>
  <si>
    <t>Année</t>
  </si>
  <si>
    <t>Productible (kWh/kWc)</t>
  </si>
  <si>
    <t>Auvergne-Rhône-Alpes</t>
  </si>
  <si>
    <t>Bourgogne-Franche-Comté</t>
  </si>
  <si>
    <t>Bretagne</t>
  </si>
  <si>
    <t>Centre-Val-de-Loire</t>
  </si>
  <si>
    <t>Grand-Est</t>
  </si>
  <si>
    <t>Hauts-de-France</t>
  </si>
  <si>
    <t>Île-de-France</t>
  </si>
  <si>
    <t>Normandie</t>
  </si>
  <si>
    <t>Nouvelle-Aquitaine</t>
  </si>
  <si>
    <t>Occitanie</t>
  </si>
  <si>
    <t>Pays-de-la-Loire</t>
  </si>
  <si>
    <t>Provence-Alpes-Côte-d'Azur</t>
  </si>
  <si>
    <t>TRI (%)</t>
  </si>
  <si>
    <t>Métropole</t>
  </si>
  <si>
    <t>Code Départem°</t>
  </si>
  <si>
    <t>Départem°</t>
  </si>
  <si>
    <t>Coeff. R</t>
  </si>
  <si>
    <t>Ain</t>
  </si>
  <si>
    <t>Aisne</t>
  </si>
  <si>
    <t>Allier</t>
  </si>
  <si>
    <t>Alpes-de-Haute-Provence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</si>
  <si>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</si>
  <si>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</si>
  <si>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</si>
  <si>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</si>
  <si>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</si>
  <si>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</si>
  <si>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</si>
  <si>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</si>
  <si>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</si>
  <si>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</si>
  <si>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</si>
  <si>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</si>
  <si>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</si>
  <si>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</si>
  <si>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</si>
  <si>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Côte d'Or</t>
  </si>
  <si>
    <t>Côtes-d’Armor</t>
  </si>
  <si>
    <t>Creuse</t>
  </si>
  <si>
    <t>Dordogne</t>
  </si>
  <si>
    <t>Doubs</t>
  </si>
  <si>
    <t>Drôme</t>
  </si>
  <si>
    <t>Eure</t>
  </si>
  <si>
    <t>Eure et Loir</t>
  </si>
  <si>
    <t>Finistère</t>
  </si>
  <si>
    <t>Gard</t>
  </si>
  <si>
    <t>Haute-Garonne</t>
  </si>
  <si>
    <t>Gers</t>
  </si>
  <si>
    <t>Gironde</t>
  </si>
  <si>
    <t>Hérault</t>
  </si>
  <si>
    <t>Ille-et-Vilaine</t>
  </si>
  <si>
    <t>Indre</t>
  </si>
  <si>
    <t>Indre et Loire</t>
  </si>
  <si>
    <t>Isère</t>
  </si>
  <si>
    <t>Jura</t>
  </si>
  <si>
    <t>Landes</t>
  </si>
  <si>
    <t>Loir et Cher</t>
  </si>
  <si>
    <t>Loire</t>
  </si>
  <si>
    <t>Haute-Loire</t>
  </si>
  <si>
    <t>Loire-Atlantique</t>
  </si>
  <si>
    <t>Loiret</t>
  </si>
  <si>
    <t>Lot</t>
  </si>
  <si>
    <t>Lot-et-Garonne</t>
  </si>
  <si>
    <t>Lozère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</si>
  <si>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</si>
  <si>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</si>
  <si>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</si>
  <si>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</si>
  <si>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</si>
  <si>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</si>
  <si>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</si>
  <si>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</si>
  <si>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</si>
  <si>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Nièvre</t>
  </si>
  <si>
    <t>Nord</t>
  </si>
  <si>
    <t>Oise</t>
  </si>
  <si>
    <t>Orne</t>
  </si>
  <si>
    <t>Pas-de-Calais</t>
  </si>
  <si>
    <t>Puy-de-Dôme</t>
  </si>
  <si>
    <t>Pyrénées-Atlantiques</t>
  </si>
  <si>
    <t>Hautes-Pyrénées</t>
  </si>
  <si>
    <t>Pyrénées-Orientales</t>
  </si>
  <si>
    <t>Bas-Rhin</t>
  </si>
  <si>
    <t>Haut-Rhin</t>
  </si>
  <si>
    <t>Rhône</t>
  </si>
  <si>
    <t>haute Saône</t>
  </si>
  <si>
    <t>Saône et Loire</t>
  </si>
  <si>
    <t>Sarthe</t>
  </si>
  <si>
    <t>Savoie</t>
  </si>
  <si>
    <t>Haute-Savoie</t>
  </si>
  <si>
    <t>Paris</t>
  </si>
  <si>
    <t>Seine-Maritime</t>
  </si>
  <si>
    <t>Seine et Marne</t>
  </si>
  <si>
    <t>Yvelines</t>
  </si>
  <si>
    <t>Deux-Sèvres</t>
  </si>
  <si>
    <t>Somme</t>
  </si>
  <si>
    <t>Tarn</t>
  </si>
  <si>
    <t>Tarn-et-Garonne</t>
  </si>
  <si>
    <t>Var</t>
  </si>
  <si>
    <t>Vaucluse</t>
  </si>
  <si>
    <t>Vendée</t>
  </si>
  <si>
    <t>Vienne</t>
  </si>
  <si>
    <t>Haute-Vienne</t>
  </si>
  <si>
    <t>Vosges</t>
  </si>
  <si>
    <t>Yonne</t>
  </si>
  <si>
    <t>Territoire de Belfort</t>
  </si>
  <si>
    <t>Essonne</t>
  </si>
  <si>
    <t>Hauts de Seine</t>
  </si>
  <si>
    <t>Seine Saint Denis</t>
  </si>
  <si>
    <t>Val de Marne</t>
  </si>
  <si>
    <t>Ensemble de l'industrie - 
Marché français - Prix départ usine</t>
  </si>
  <si>
    <t xml:space="preserve"> Indices du coût horaire du travail révisé - Tous salariés - Salaires et charges - Industries mécaniques et électriques </t>
  </si>
  <si>
    <t>Période observée</t>
  </si>
  <si>
    <t>Datede publication</t>
  </si>
  <si>
    <t>PPEI</t>
  </si>
  <si>
    <t>A10BE</t>
  </si>
  <si>
    <t>ICHT-TS</t>
  </si>
  <si>
    <t>ICHTrev-TS</t>
  </si>
  <si>
    <t>PVIS0001000000M</t>
  </si>
  <si>
    <t xml:space="preserve"> FM0A BE00000005M</t>
  </si>
  <si>
    <t>Inflation</t>
  </si>
  <si>
    <t>Distribution des Opex en €/kWc</t>
  </si>
  <si>
    <t>Coût travail</t>
  </si>
  <si>
    <t>Coût marché français</t>
  </si>
  <si>
    <t>Coeff. M</t>
  </si>
  <si>
    <t>Coeff. X</t>
  </si>
  <si>
    <t>Coeff. N</t>
  </si>
  <si>
    <r>
      <t>1/(1 + τ)</t>
    </r>
    <r>
      <rPr>
        <vertAlign val="superscript"/>
        <sz val="11"/>
        <color theme="1"/>
        <rFont val="Calibri"/>
        <family val="2"/>
      </rPr>
      <t>i</t>
    </r>
  </si>
  <si>
    <t>Opex de référence à l'année de mise en service, en €/kWc</t>
  </si>
  <si>
    <r>
      <t>1/(1 + τ)</t>
    </r>
    <r>
      <rPr>
        <vertAlign val="superscript"/>
        <sz val="11"/>
        <color theme="1"/>
        <rFont val="Calibri"/>
        <family val="2"/>
      </rPr>
      <t>k-</t>
    </r>
  </si>
  <si>
    <r>
      <t>1/(1 + τ)</t>
    </r>
    <r>
      <rPr>
        <vertAlign val="superscript"/>
        <sz val="11"/>
        <color theme="1"/>
        <rFont val="Calibri"/>
        <family val="2"/>
      </rPr>
      <t>k</t>
    </r>
  </si>
  <si>
    <r>
      <t>1/(1 + τ)</t>
    </r>
    <r>
      <rPr>
        <vertAlign val="superscript"/>
        <sz val="11"/>
        <color theme="1"/>
        <rFont val="Calibri"/>
        <family val="2"/>
      </rPr>
      <t>k+</t>
    </r>
  </si>
  <si>
    <t>Coeff. D</t>
  </si>
  <si>
    <t>Opex de référence post-révision, en €/kWc</t>
  </si>
  <si>
    <t>Le tarif est révisé</t>
  </si>
  <si>
    <t>On applique le tarif tarif minimum</t>
  </si>
  <si>
    <t>Tarif révisé théorique</t>
  </si>
  <si>
    <t>Tarif révisé retenu</t>
  </si>
  <si>
    <t>cts d'€/kWh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</si>
</sst>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-;\-* #,##0.00_-;_-* &quot;-&quot;??_-;_-@_-"/>
    <numFmt numFmtId="165" formatCode="0.000"/>
    <numFmt numFmtId="166" formatCode="0.0"/>
    <numFmt numFmtId="167" formatCode="0.0%"/>
    <numFmt numFmtId="168" formatCode="0.00000"/>
    <numFmt numFmtId="169" formatCode="#,##0.0"/>
    <numFmt numFmtId="170" formatCode="_-* #,##0_-;\-* #,##0_-;_-* &quot;-&quot;??_-;_-@_-"/>
    <numFmt numFmtId="171" formatCode="0.000000"/>
  </numFmts>
  <fonts count="30" x14ac:knownFonts="1">
    <font>
      <sz val="11"/>
      <color theme="1"/>
      <name val="Calibri"/>
      <family val="2"/>
      <scheme val="minor"/>
    </font>
    <font>
      <sz val="10"/>
      <color theme="1"/>
      <name val="Franklin Gothic Book"/>
      <family val="2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rgb="FFC00000"/>
      <name val="Calibri"/>
      <family val="2"/>
    </font>
    <font>
      <b/>
      <u/>
      <sz val="11"/>
      <color rgb="FFC00000"/>
      <name val="Calibri"/>
      <family val="2"/>
      <scheme val="minor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11"/>
      <color rgb="FFC00000"/>
      <name val="Calibri"/>
      <family val="2"/>
      <scheme val="minor"/>
    </font>
    <font>
      <b/>
      <sz val="11"/>
      <name val="Arial"/>
      <family val="2"/>
    </font>
    <font>
      <sz val="8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55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55"/>
      </bottom>
      <diagonal/>
    </border>
    <border>
      <left/>
      <right style="thin">
        <color indexed="64"/>
      </right>
      <top style="thin">
        <color indexed="64"/>
      </top>
      <bottom style="dotted">
        <color indexed="55"/>
      </bottom>
      <diagonal/>
    </border>
    <border>
      <left style="medium">
        <color indexed="64"/>
      </left>
      <right style="thin">
        <color indexed="64"/>
      </right>
      <top style="dotted">
        <color indexed="55"/>
      </top>
      <bottom style="dotted">
        <color indexed="55"/>
      </bottom>
      <diagonal/>
    </border>
    <border>
      <left style="thin">
        <color indexed="64"/>
      </left>
      <right style="medium">
        <color indexed="64"/>
      </right>
      <top style="dotted">
        <color indexed="55"/>
      </top>
      <bottom style="dotted">
        <color indexed="55"/>
      </bottom>
      <diagonal/>
    </border>
    <border>
      <left/>
      <right style="thin">
        <color indexed="64"/>
      </right>
      <top style="dotted">
        <color indexed="55"/>
      </top>
      <bottom style="dotted">
        <color indexed="55"/>
      </bottom>
      <diagonal/>
    </border>
    <border>
      <left style="medium">
        <color indexed="64"/>
      </left>
      <right style="thin">
        <color indexed="64"/>
      </right>
      <top style="dotted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55"/>
      </top>
      <bottom style="thin">
        <color indexed="64"/>
      </bottom>
      <diagonal/>
    </border>
    <border>
      <left/>
      <right style="thin">
        <color indexed="64"/>
      </right>
      <top style="dotted">
        <color indexed="55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55"/>
      </bottom>
      <diagonal/>
    </border>
    <border>
      <left style="thin">
        <color indexed="64"/>
      </left>
      <right style="medium">
        <color indexed="64"/>
      </right>
      <top/>
      <bottom style="dotted">
        <color indexed="55"/>
      </bottom>
      <diagonal/>
    </border>
    <border>
      <left/>
      <right style="thin">
        <color indexed="64"/>
      </right>
      <top/>
      <bottom style="dotted">
        <color indexed="5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dotted">
        <color indexed="55"/>
      </bottom>
      <diagonal/>
    </border>
    <border>
      <left style="medium">
        <color indexed="64"/>
      </left>
      <right/>
      <top style="dotted">
        <color indexed="55"/>
      </top>
      <bottom style="dotted">
        <color indexed="55"/>
      </bottom>
      <diagonal/>
    </border>
    <border>
      <left style="medium">
        <color indexed="64"/>
      </left>
      <right/>
      <top style="dotted">
        <color indexed="55"/>
      </top>
      <bottom style="thin">
        <color indexed="64"/>
      </bottom>
      <diagonal/>
    </border>
    <border>
      <left style="medium">
        <color indexed="64"/>
      </left>
      <right/>
      <top/>
      <bottom style="dotted">
        <color indexed="55"/>
      </bottom>
      <diagonal/>
    </border>
    <border>
      <left style="medium">
        <color indexed="64"/>
      </left>
      <right/>
      <top style="dotted">
        <color indexed="55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55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55"/>
      </top>
      <bottom style="medium">
        <color indexed="64"/>
      </bottom>
      <diagonal/>
    </border>
    <border>
      <left/>
      <right style="thin">
        <color indexed="64"/>
      </right>
      <top style="dotted">
        <color indexed="55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55"/>
      </bottom>
      <diagonal/>
    </border>
    <border>
      <left style="medium">
        <color indexed="64"/>
      </left>
      <right style="medium">
        <color indexed="64"/>
      </right>
      <top style="dotted">
        <color indexed="55"/>
      </top>
      <bottom style="dotted">
        <color indexed="55"/>
      </bottom>
      <diagonal/>
    </border>
    <border>
      <left style="medium">
        <color indexed="64"/>
      </left>
      <right style="medium">
        <color indexed="64"/>
      </right>
      <top style="dotted">
        <color indexed="55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tted">
        <color indexed="55"/>
      </bottom>
      <diagonal/>
    </border>
    <border>
      <left style="medium">
        <color indexed="64"/>
      </left>
      <right style="medium">
        <color indexed="64"/>
      </right>
      <top/>
      <bottom style="dotted">
        <color indexed="55"/>
      </bottom>
      <diagonal/>
    </border>
    <border>
      <left style="medium">
        <color indexed="64"/>
      </left>
      <right style="medium">
        <color indexed="64"/>
      </right>
      <top style="dotted">
        <color indexed="55"/>
      </top>
      <bottom style="medium">
        <color indexed="64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78">
    <xf numFmtId="0" fontId="0" fillId="0" borderId="0" xfId="0"/>
    <xf numFmtId="0" fontId="0" fillId="6" borderId="0" xfId="0" applyFill="1"/>
    <xf numFmtId="0" fontId="0" fillId="11" borderId="4" xfId="0" applyFill="1" applyBorder="1" applyAlignment="1">
      <alignment vertical="center"/>
    </xf>
    <xf numFmtId="0" fontId="0" fillId="11" borderId="4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8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" fontId="0" fillId="11" borderId="4" xfId="2" applyNumberFormat="1" applyFont="1" applyFill="1" applyBorder="1" applyAlignment="1">
      <alignment vertical="center"/>
    </xf>
    <xf numFmtId="1" fontId="0" fillId="11" borderId="4" xfId="2" applyNumberFormat="1" applyFont="1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0" fillId="3" borderId="3" xfId="0" applyFill="1" applyBorder="1" applyAlignment="1">
      <alignment vertical="center"/>
    </xf>
    <xf numFmtId="0" fontId="0" fillId="9" borderId="2" xfId="0" applyFill="1" applyBorder="1" applyAlignment="1">
      <alignment vertical="center"/>
    </xf>
    <xf numFmtId="0" fontId="0" fillId="9" borderId="3" xfId="0" applyFill="1" applyBorder="1" applyAlignment="1">
      <alignment vertical="center"/>
    </xf>
    <xf numFmtId="0" fontId="16" fillId="6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2" fillId="7" borderId="0" xfId="0" applyFont="1" applyFill="1" applyAlignment="1">
      <alignment vertical="center"/>
    </xf>
    <xf numFmtId="0" fontId="8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9" fillId="6" borderId="0" xfId="0" applyFont="1" applyFill="1" applyAlignment="1">
      <alignment vertical="center"/>
    </xf>
    <xf numFmtId="2" fontId="0" fillId="9" borderId="1" xfId="0" applyNumberFormat="1" applyFill="1" applyBorder="1" applyAlignment="1">
      <alignment vertical="center"/>
    </xf>
    <xf numFmtId="0" fontId="0" fillId="6" borderId="0" xfId="0" quotePrefix="1" applyFill="1" applyAlignment="1">
      <alignment horizontal="left" vertical="center"/>
    </xf>
    <xf numFmtId="0" fontId="9" fillId="6" borderId="0" xfId="0" applyFont="1" applyFill="1" applyAlignment="1">
      <alignment horizontal="left" vertical="center"/>
    </xf>
    <xf numFmtId="3" fontId="0" fillId="9" borderId="1" xfId="0" applyNumberFormat="1" applyFill="1" applyBorder="1" applyAlignment="1">
      <alignment vertical="center"/>
    </xf>
    <xf numFmtId="0" fontId="2" fillId="5" borderId="0" xfId="0" applyFont="1" applyFill="1" applyAlignment="1">
      <alignment vertical="center"/>
    </xf>
    <xf numFmtId="2" fontId="13" fillId="9" borderId="1" xfId="0" applyNumberFormat="1" applyFont="1" applyFill="1" applyBorder="1" applyAlignment="1">
      <alignment vertical="center"/>
    </xf>
    <xf numFmtId="0" fontId="0" fillId="6" borderId="0" xfId="0" applyFill="1" applyAlignment="1">
      <alignment horizontal="right" vertical="center"/>
    </xf>
    <xf numFmtId="0" fontId="0" fillId="8" borderId="1" xfId="0" applyFill="1" applyBorder="1" applyAlignment="1">
      <alignment horizontal="right" vertical="center"/>
    </xf>
    <xf numFmtId="2" fontId="0" fillId="9" borderId="1" xfId="0" applyNumberFormat="1" applyFill="1" applyBorder="1" applyAlignment="1">
      <alignment horizontal="right" vertical="center"/>
    </xf>
    <xf numFmtId="10" fontId="0" fillId="6" borderId="0" xfId="1" applyNumberFormat="1" applyFont="1" applyFill="1" applyAlignment="1">
      <alignment vertical="center"/>
    </xf>
    <xf numFmtId="0" fontId="0" fillId="8" borderId="1" xfId="0" applyFill="1" applyBorder="1" applyAlignment="1">
      <alignment vertical="center"/>
    </xf>
    <xf numFmtId="0" fontId="5" fillId="6" borderId="0" xfId="0" quotePrefix="1" applyFont="1" applyFill="1" applyAlignment="1">
      <alignment horizontal="right" vertical="center"/>
    </xf>
    <xf numFmtId="0" fontId="3" fillId="6" borderId="0" xfId="0" applyFont="1" applyFill="1" applyAlignment="1">
      <alignment horizontal="right" vertical="center"/>
    </xf>
    <xf numFmtId="0" fontId="2" fillId="10" borderId="0" xfId="0" applyFont="1" applyFill="1" applyAlignment="1">
      <alignment vertical="center"/>
    </xf>
    <xf numFmtId="3" fontId="0" fillId="9" borderId="1" xfId="0" applyNumberFormat="1" applyFill="1" applyBorder="1" applyAlignment="1">
      <alignment horizontal="right" vertical="center"/>
    </xf>
    <xf numFmtId="0" fontId="13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 vertical="center"/>
    </xf>
    <xf numFmtId="1" fontId="0" fillId="12" borderId="1" xfId="0" applyNumberFormat="1" applyFill="1" applyBorder="1" applyAlignment="1">
      <alignment vertical="center"/>
    </xf>
    <xf numFmtId="165" fontId="0" fillId="6" borderId="0" xfId="0" applyNumberFormat="1" applyFill="1" applyAlignment="1">
      <alignment vertical="center"/>
    </xf>
    <xf numFmtId="1" fontId="0" fillId="11" borderId="4" xfId="2" applyNumberFormat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1" fontId="0" fillId="9" borderId="1" xfId="0" applyNumberFormat="1" applyFill="1" applyBorder="1" applyAlignment="1">
      <alignment horizontal="right" vertical="center"/>
    </xf>
    <xf numFmtId="0" fontId="9" fillId="6" borderId="0" xfId="0" applyFont="1" applyFill="1" applyAlignment="1">
      <alignment horizontal="right" vertical="center"/>
    </xf>
    <xf numFmtId="0" fontId="17" fillId="13" borderId="4" xfId="0" applyFont="1" applyFill="1" applyBorder="1" applyAlignment="1">
      <alignment horizontal="center" vertical="center"/>
    </xf>
    <xf numFmtId="0" fontId="18" fillId="13" borderId="4" xfId="0" applyFont="1" applyFill="1" applyBorder="1" applyAlignment="1">
      <alignment horizontal="center" vertical="center"/>
    </xf>
    <xf numFmtId="0" fontId="18" fillId="18" borderId="4" xfId="0" applyFont="1" applyFill="1" applyBorder="1" applyAlignment="1">
      <alignment horizontal="center" vertical="center" wrapText="1"/>
    </xf>
    <xf numFmtId="0" fontId="18" fillId="19" borderId="4" xfId="0" applyFont="1" applyFill="1" applyBorder="1" applyAlignment="1">
      <alignment horizontal="center" vertical="center" wrapText="1"/>
    </xf>
    <xf numFmtId="0" fontId="18" fillId="20" borderId="4" xfId="0" applyFont="1" applyFill="1" applyBorder="1" applyAlignment="1">
      <alignment horizontal="center" vertical="center" wrapText="1"/>
    </xf>
    <xf numFmtId="0" fontId="18" fillId="21" borderId="4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166" fontId="19" fillId="0" borderId="4" xfId="0" applyNumberFormat="1" applyFont="1" applyBorder="1" applyAlignment="1">
      <alignment vertical="center"/>
    </xf>
    <xf numFmtId="166" fontId="19" fillId="0" borderId="4" xfId="0" applyNumberFormat="1" applyFont="1" applyBorder="1" applyAlignment="1">
      <alignment horizontal="right" vertical="center"/>
    </xf>
    <xf numFmtId="9" fontId="19" fillId="0" borderId="4" xfId="1" applyFont="1" applyBorder="1" applyAlignment="1">
      <alignment horizontal="center" vertical="center"/>
    </xf>
    <xf numFmtId="0" fontId="2" fillId="4" borderId="0" xfId="0" applyFont="1" applyFill="1" applyAlignment="1">
      <alignment horizontal="left" vertical="center"/>
    </xf>
    <xf numFmtId="0" fontId="2" fillId="10" borderId="0" xfId="0" applyFont="1" applyFill="1" applyAlignment="1">
      <alignment horizontal="left" vertical="center" indent="1"/>
    </xf>
    <xf numFmtId="0" fontId="21" fillId="23" borderId="10" xfId="2" applyFont="1" applyFill="1" applyBorder="1" applyAlignment="1">
      <alignment horizontal="center" vertical="center" wrapText="1"/>
    </xf>
    <xf numFmtId="0" fontId="21" fillId="23" borderId="11" xfId="2" applyFont="1" applyFill="1" applyBorder="1" applyAlignment="1">
      <alignment horizontal="center" vertical="center" wrapText="1"/>
    </xf>
    <xf numFmtId="0" fontId="21" fillId="23" borderId="12" xfId="2" applyFont="1" applyFill="1" applyBorder="1" applyAlignment="1">
      <alignment horizontal="center" vertical="center" wrapText="1"/>
    </xf>
    <xf numFmtId="0" fontId="21" fillId="22" borderId="14" xfId="2" applyFont="1" applyFill="1" applyBorder="1" applyAlignment="1">
      <alignment horizontal="center" vertical="center" wrapText="1"/>
    </xf>
    <xf numFmtId="0" fontId="21" fillId="22" borderId="15" xfId="2" applyFont="1" applyFill="1" applyBorder="1" applyAlignment="1">
      <alignment horizontal="center" vertical="center" wrapText="1"/>
    </xf>
    <xf numFmtId="0" fontId="21" fillId="22" borderId="16" xfId="2" applyFont="1" applyFill="1" applyBorder="1" applyAlignment="1">
      <alignment horizontal="center" vertical="center" wrapText="1"/>
    </xf>
    <xf numFmtId="166" fontId="22" fillId="3" borderId="17" xfId="2" applyNumberFormat="1" applyFont="1" applyFill="1" applyBorder="1" applyAlignment="1">
      <alignment vertical="center" wrapText="1"/>
    </xf>
    <xf numFmtId="166" fontId="6" fillId="3" borderId="18" xfId="2" applyNumberFormat="1" applyFill="1" applyBorder="1" applyAlignment="1">
      <alignment wrapText="1"/>
    </xf>
    <xf numFmtId="166" fontId="22" fillId="3" borderId="19" xfId="2" applyNumberFormat="1" applyFont="1" applyFill="1" applyBorder="1" applyAlignment="1">
      <alignment vertical="center" wrapText="1"/>
    </xf>
    <xf numFmtId="166" fontId="22" fillId="3" borderId="20" xfId="2" applyNumberFormat="1" applyFont="1" applyFill="1" applyBorder="1" applyAlignment="1">
      <alignment vertical="center" wrapText="1"/>
    </xf>
    <xf numFmtId="166" fontId="6" fillId="3" borderId="21" xfId="2" applyNumberFormat="1" applyFill="1" applyBorder="1" applyAlignment="1">
      <alignment wrapText="1"/>
    </xf>
    <xf numFmtId="166" fontId="22" fillId="3" borderId="22" xfId="2" applyNumberFormat="1" applyFont="1" applyFill="1" applyBorder="1" applyAlignment="1">
      <alignment vertical="center" wrapText="1"/>
    </xf>
    <xf numFmtId="166" fontId="22" fillId="3" borderId="23" xfId="2" applyNumberFormat="1" applyFont="1" applyFill="1" applyBorder="1" applyAlignment="1">
      <alignment vertical="center" wrapText="1"/>
    </xf>
    <xf numFmtId="166" fontId="6" fillId="3" borderId="24" xfId="2" applyNumberFormat="1" applyFill="1" applyBorder="1" applyAlignment="1">
      <alignment wrapText="1"/>
    </xf>
    <xf numFmtId="166" fontId="22" fillId="3" borderId="25" xfId="2" applyNumberFormat="1" applyFont="1" applyFill="1" applyBorder="1" applyAlignment="1">
      <alignment vertical="center" wrapText="1"/>
    </xf>
    <xf numFmtId="166" fontId="22" fillId="24" borderId="20" xfId="2" applyNumberFormat="1" applyFont="1" applyFill="1" applyBorder="1" applyAlignment="1">
      <alignment vertical="center" wrapText="1"/>
    </xf>
    <xf numFmtId="166" fontId="6" fillId="24" borderId="21" xfId="2" applyNumberFormat="1" applyFill="1" applyBorder="1" applyAlignment="1">
      <alignment wrapText="1"/>
    </xf>
    <xf numFmtId="166" fontId="22" fillId="24" borderId="23" xfId="2" applyNumberFormat="1" applyFont="1" applyFill="1" applyBorder="1" applyAlignment="1">
      <alignment vertical="center" wrapText="1"/>
    </xf>
    <xf numFmtId="166" fontId="6" fillId="24" borderId="24" xfId="2" applyNumberFormat="1" applyFill="1" applyBorder="1" applyAlignment="1">
      <alignment wrapText="1"/>
    </xf>
    <xf numFmtId="166" fontId="22" fillId="24" borderId="26" xfId="2" applyNumberFormat="1" applyFont="1" applyFill="1" applyBorder="1" applyAlignment="1">
      <alignment vertical="center" wrapText="1"/>
    </xf>
    <xf numFmtId="166" fontId="6" fillId="24" borderId="27" xfId="2" applyNumberFormat="1" applyFill="1" applyBorder="1" applyAlignment="1">
      <alignment wrapText="1"/>
    </xf>
    <xf numFmtId="166" fontId="22" fillId="3" borderId="28" xfId="2" applyNumberFormat="1" applyFont="1" applyFill="1" applyBorder="1" applyAlignment="1">
      <alignment vertical="center" wrapText="1"/>
    </xf>
    <xf numFmtId="166" fontId="22" fillId="24" borderId="22" xfId="2" applyNumberFormat="1" applyFont="1" applyFill="1" applyBorder="1" applyAlignment="1">
      <alignment vertical="center" wrapText="1"/>
    </xf>
    <xf numFmtId="166" fontId="22" fillId="0" borderId="23" xfId="2" applyNumberFormat="1" applyFont="1" applyBorder="1" applyAlignment="1">
      <alignment vertical="center" wrapText="1"/>
    </xf>
    <xf numFmtId="166" fontId="6" fillId="0" borderId="24" xfId="2" applyNumberFormat="1" applyBorder="1" applyAlignment="1">
      <alignment wrapText="1"/>
    </xf>
    <xf numFmtId="166" fontId="22" fillId="24" borderId="25" xfId="2" applyNumberFormat="1" applyFont="1" applyFill="1" applyBorder="1" applyAlignment="1">
      <alignment vertical="center" wrapText="1"/>
    </xf>
    <xf numFmtId="166" fontId="22" fillId="0" borderId="26" xfId="2" applyNumberFormat="1" applyFont="1" applyBorder="1" applyAlignment="1">
      <alignment vertical="center" wrapText="1"/>
    </xf>
    <xf numFmtId="166" fontId="6" fillId="0" borderId="27" xfId="2" applyNumberFormat="1" applyBorder="1" applyAlignment="1">
      <alignment wrapText="1"/>
    </xf>
    <xf numFmtId="166" fontId="22" fillId="24" borderId="28" xfId="2" applyNumberFormat="1" applyFont="1" applyFill="1" applyBorder="1" applyAlignment="1">
      <alignment vertical="center" wrapText="1"/>
    </xf>
    <xf numFmtId="166" fontId="22" fillId="0" borderId="20" xfId="2" applyNumberFormat="1" applyFont="1" applyBorder="1" applyAlignment="1">
      <alignment vertical="center" wrapText="1"/>
    </xf>
    <xf numFmtId="166" fontId="6" fillId="0" borderId="21" xfId="2" applyNumberFormat="1" applyBorder="1" applyAlignment="1">
      <alignment wrapText="1"/>
    </xf>
    <xf numFmtId="166" fontId="22" fillId="0" borderId="22" xfId="2" applyNumberFormat="1" applyFont="1" applyBorder="1" applyAlignment="1">
      <alignment vertical="center" wrapText="1"/>
    </xf>
    <xf numFmtId="166" fontId="22" fillId="0" borderId="25" xfId="2" applyNumberFormat="1" applyFont="1" applyBorder="1" applyAlignment="1">
      <alignment vertical="center" wrapText="1"/>
    </xf>
    <xf numFmtId="166" fontId="22" fillId="0" borderId="28" xfId="2" applyNumberFormat="1" applyFont="1" applyBorder="1" applyAlignment="1">
      <alignment vertical="center" wrapText="1"/>
    </xf>
    <xf numFmtId="0" fontId="21" fillId="22" borderId="4" xfId="2" applyFont="1" applyFill="1" applyBorder="1" applyAlignment="1">
      <alignment horizontal="center" vertical="center" wrapText="1"/>
    </xf>
    <xf numFmtId="9" fontId="6" fillId="3" borderId="4" xfId="1" applyFill="1" applyBorder="1" applyAlignment="1">
      <alignment horizontal="center" wrapText="1"/>
    </xf>
    <xf numFmtId="0" fontId="6" fillId="6" borderId="0" xfId="2" applyFill="1" applyBorder="1"/>
    <xf numFmtId="0" fontId="6" fillId="6" borderId="0" xfId="2" applyFill="1" applyBorder="1" applyAlignment="1">
      <alignment horizontal="center"/>
    </xf>
    <xf numFmtId="0" fontId="6" fillId="22" borderId="31" xfId="2" applyFill="1" applyBorder="1"/>
    <xf numFmtId="0" fontId="6" fillId="22" borderId="32" xfId="2" applyFill="1" applyBorder="1"/>
    <xf numFmtId="0" fontId="6" fillId="22" borderId="33" xfId="2" applyFill="1" applyBorder="1"/>
    <xf numFmtId="17" fontId="6" fillId="22" borderId="38" xfId="2" applyNumberFormat="1" applyFill="1" applyBorder="1"/>
    <xf numFmtId="17" fontId="6" fillId="22" borderId="39" xfId="2" applyNumberFormat="1" applyFill="1" applyBorder="1"/>
    <xf numFmtId="17" fontId="6" fillId="22" borderId="40" xfId="2" applyNumberFormat="1" applyFill="1" applyBorder="1"/>
    <xf numFmtId="17" fontId="6" fillId="22" borderId="41" xfId="2" applyNumberFormat="1" applyFill="1" applyBorder="1"/>
    <xf numFmtId="17" fontId="6" fillId="22" borderId="42" xfId="2" applyNumberFormat="1" applyFill="1" applyBorder="1"/>
    <xf numFmtId="166" fontId="22" fillId="0" borderId="43" xfId="2" applyNumberFormat="1" applyFont="1" applyBorder="1" applyAlignment="1">
      <alignment vertical="center" wrapText="1"/>
    </xf>
    <xf numFmtId="166" fontId="6" fillId="0" borderId="44" xfId="2" applyNumberFormat="1" applyBorder="1" applyAlignment="1">
      <alignment wrapText="1"/>
    </xf>
    <xf numFmtId="166" fontId="22" fillId="0" borderId="45" xfId="2" applyNumberFormat="1" applyFont="1" applyBorder="1" applyAlignment="1">
      <alignment vertical="center" wrapText="1"/>
    </xf>
    <xf numFmtId="17" fontId="6" fillId="22" borderId="6" xfId="2" applyNumberFormat="1" applyFill="1" applyBorder="1" applyAlignment="1">
      <alignment horizontal="center"/>
    </xf>
    <xf numFmtId="17" fontId="6" fillId="22" borderId="46" xfId="2" applyNumberFormat="1" applyFill="1" applyBorder="1" applyAlignment="1">
      <alignment horizontal="center"/>
    </xf>
    <xf numFmtId="17" fontId="6" fillId="22" borderId="47" xfId="2" applyNumberFormat="1" applyFill="1" applyBorder="1" applyAlignment="1">
      <alignment horizontal="center"/>
    </xf>
    <xf numFmtId="17" fontId="6" fillId="22" borderId="48" xfId="2" applyNumberFormat="1" applyFill="1" applyBorder="1" applyAlignment="1">
      <alignment horizontal="center"/>
    </xf>
    <xf numFmtId="17" fontId="6" fillId="22" borderId="49" xfId="2" applyNumberFormat="1" applyFill="1" applyBorder="1" applyAlignment="1">
      <alignment horizontal="center"/>
    </xf>
    <xf numFmtId="17" fontId="6" fillId="22" borderId="50" xfId="2" applyNumberFormat="1" applyFill="1" applyBorder="1" applyAlignment="1">
      <alignment horizontal="center"/>
    </xf>
    <xf numFmtId="17" fontId="6" fillId="22" borderId="51" xfId="2" applyNumberFormat="1" applyFill="1" applyBorder="1" applyAlignment="1">
      <alignment horizontal="center"/>
    </xf>
    <xf numFmtId="17" fontId="6" fillId="22" borderId="52" xfId="2" applyNumberFormat="1" applyFill="1" applyBorder="1" applyAlignment="1">
      <alignment horizontal="center"/>
    </xf>
    <xf numFmtId="17" fontId="6" fillId="22" borderId="53" xfId="2" applyNumberFormat="1" applyFill="1" applyBorder="1" applyAlignment="1">
      <alignment horizontal="center"/>
    </xf>
    <xf numFmtId="17" fontId="6" fillId="22" borderId="54" xfId="2" applyNumberFormat="1" applyFill="1" applyBorder="1" applyAlignment="1">
      <alignment horizontal="center"/>
    </xf>
    <xf numFmtId="9" fontId="0" fillId="9" borderId="1" xfId="1" applyFont="1" applyFill="1" applyBorder="1" applyAlignment="1">
      <alignment horizontal="right" vertical="center"/>
    </xf>
    <xf numFmtId="0" fontId="23" fillId="6" borderId="0" xfId="0" applyFont="1" applyFill="1" applyAlignment="1">
      <alignment horizontal="right" vertical="center"/>
    </xf>
    <xf numFmtId="0" fontId="7" fillId="3" borderId="0" xfId="0" applyFont="1" applyFill="1" applyAlignment="1">
      <alignment horizontal="left" vertical="center" indent="1"/>
    </xf>
    <xf numFmtId="0" fontId="0" fillId="3" borderId="0" xfId="0" applyFont="1" applyFill="1" applyAlignment="1">
      <alignment vertical="center"/>
    </xf>
    <xf numFmtId="2" fontId="0" fillId="3" borderId="1" xfId="1" applyNumberFormat="1" applyFont="1" applyFill="1" applyBorder="1" applyAlignment="1">
      <alignment horizontal="right" vertical="center"/>
    </xf>
    <xf numFmtId="2" fontId="0" fillId="6" borderId="0" xfId="0" applyNumberFormat="1" applyFill="1" applyAlignment="1">
      <alignment vertical="center"/>
    </xf>
    <xf numFmtId="168" fontId="0" fillId="9" borderId="1" xfId="0" applyNumberFormat="1" applyFill="1" applyBorder="1" applyAlignment="1">
      <alignment vertical="center"/>
    </xf>
    <xf numFmtId="0" fontId="7" fillId="6" borderId="0" xfId="0" applyFont="1" applyFill="1" applyAlignment="1">
      <alignment horizontal="right" vertical="center"/>
    </xf>
    <xf numFmtId="0" fontId="14" fillId="6" borderId="0" xfId="0" applyFont="1" applyFill="1" applyAlignment="1">
      <alignment horizontal="right" vertical="center"/>
    </xf>
    <xf numFmtId="167" fontId="0" fillId="9" borderId="1" xfId="1" applyNumberFormat="1" applyFont="1" applyFill="1" applyBorder="1" applyAlignment="1">
      <alignment vertical="center"/>
    </xf>
    <xf numFmtId="2" fontId="24" fillId="9" borderId="1" xfId="0" applyNumberFormat="1" applyFont="1" applyFill="1" applyBorder="1" applyAlignment="1">
      <alignment horizontal="right" vertical="center"/>
    </xf>
    <xf numFmtId="14" fontId="25" fillId="3" borderId="1" xfId="0" applyNumberFormat="1" applyFont="1" applyFill="1" applyBorder="1" applyAlignment="1">
      <alignment horizontal="right" vertical="center"/>
    </xf>
    <xf numFmtId="14" fontId="25" fillId="9" borderId="1" xfId="0" applyNumberFormat="1" applyFont="1" applyFill="1" applyBorder="1" applyAlignment="1">
      <alignment vertical="center"/>
    </xf>
    <xf numFmtId="0" fontId="0" fillId="6" borderId="0" xfId="0" applyFill="1" applyAlignment="1">
      <alignment horizontal="center" vertical="center"/>
    </xf>
    <xf numFmtId="169" fontId="0" fillId="9" borderId="1" xfId="0" applyNumberFormat="1" applyFill="1" applyBorder="1" applyAlignment="1">
      <alignment vertical="center"/>
    </xf>
    <xf numFmtId="166" fontId="0" fillId="6" borderId="0" xfId="0" applyNumberFormat="1" applyFill="1"/>
    <xf numFmtId="0" fontId="0" fillId="0" borderId="0" xfId="0" applyAlignment="1">
      <alignment horizontal="center" vertical="center" wrapText="1"/>
    </xf>
    <xf numFmtId="166" fontId="19" fillId="0" borderId="4" xfId="2" applyNumberFormat="1" applyFont="1" applyBorder="1" applyAlignment="1">
      <alignment vertical="center"/>
    </xf>
    <xf numFmtId="9" fontId="0" fillId="9" borderId="1" xfId="1" applyNumberFormat="1" applyFont="1" applyFill="1" applyBorder="1" applyAlignment="1">
      <alignment horizontal="right" vertical="center"/>
    </xf>
    <xf numFmtId="167" fontId="0" fillId="6" borderId="0" xfId="1" applyNumberFormat="1" applyFont="1" applyFill="1" applyAlignment="1">
      <alignment vertical="center"/>
    </xf>
    <xf numFmtId="3" fontId="0" fillId="6" borderId="0" xfId="0" applyNumberFormat="1" applyFill="1" applyAlignment="1">
      <alignment vertical="center"/>
    </xf>
    <xf numFmtId="170" fontId="0" fillId="6" borderId="0" xfId="3" applyNumberFormat="1" applyFont="1" applyFill="1" applyAlignment="1">
      <alignment vertical="center"/>
    </xf>
    <xf numFmtId="1" fontId="19" fillId="0" borderId="4" xfId="0" applyNumberFormat="1" applyFont="1" applyBorder="1" applyAlignment="1">
      <alignment horizontal="center" vertical="center"/>
    </xf>
    <xf numFmtId="2" fontId="0" fillId="9" borderId="1" xfId="0" applyNumberFormat="1" applyFont="1" applyFill="1" applyBorder="1" applyAlignment="1">
      <alignment vertical="center"/>
    </xf>
    <xf numFmtId="2" fontId="27" fillId="9" borderId="1" xfId="0" applyNumberFormat="1" applyFont="1" applyFill="1" applyBorder="1" applyAlignment="1">
      <alignment horizontal="right" vertical="center"/>
    </xf>
    <xf numFmtId="166" fontId="13" fillId="9" borderId="1" xfId="0" applyNumberFormat="1" applyFont="1" applyFill="1" applyBorder="1" applyAlignment="1">
      <alignment horizontal="right" vertical="center"/>
    </xf>
    <xf numFmtId="1" fontId="0" fillId="3" borderId="1" xfId="1" applyNumberFormat="1" applyFont="1" applyFill="1" applyBorder="1" applyAlignment="1">
      <alignment horizontal="right" vertical="center"/>
    </xf>
    <xf numFmtId="10" fontId="22" fillId="9" borderId="1" xfId="1" applyNumberFormat="1" applyFont="1" applyFill="1" applyBorder="1" applyAlignment="1">
      <alignment vertical="center"/>
    </xf>
    <xf numFmtId="167" fontId="13" fillId="9" borderId="1" xfId="0" applyNumberFormat="1" applyFont="1" applyFill="1" applyBorder="1" applyAlignment="1">
      <alignment horizontal="right" vertical="center"/>
    </xf>
    <xf numFmtId="0" fontId="22" fillId="6" borderId="0" xfId="0" applyFont="1" applyFill="1"/>
    <xf numFmtId="0" fontId="28" fillId="11" borderId="4" xfId="0" applyFont="1" applyFill="1" applyBorder="1" applyAlignment="1">
      <alignment vertical="center"/>
    </xf>
    <xf numFmtId="0" fontId="20" fillId="11" borderId="4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10" fontId="26" fillId="0" borderId="4" xfId="1" applyNumberFormat="1" applyFont="1" applyBorder="1" applyAlignment="1">
      <alignment horizontal="center" vertical="center"/>
    </xf>
    <xf numFmtId="10" fontId="26" fillId="0" borderId="4" xfId="1" applyNumberFormat="1" applyFont="1" applyFill="1" applyBorder="1" applyAlignment="1">
      <alignment horizontal="center" vertical="center"/>
    </xf>
    <xf numFmtId="9" fontId="22" fillId="9" borderId="1" xfId="1" applyNumberFormat="1" applyFont="1" applyFill="1" applyBorder="1" applyAlignment="1">
      <alignment vertical="center"/>
    </xf>
    <xf numFmtId="9" fontId="0" fillId="6" borderId="0" xfId="0" applyNumberFormat="1" applyFill="1" applyAlignment="1">
      <alignment vertical="center"/>
    </xf>
    <xf numFmtId="0" fontId="10" fillId="6" borderId="0" xfId="0" applyFont="1" applyFill="1" applyAlignment="1">
      <alignment horizontal="left" vertical="center"/>
    </xf>
    <xf numFmtId="165" fontId="0" fillId="9" borderId="1" xfId="0" applyNumberFormat="1" applyFill="1" applyBorder="1" applyAlignment="1">
      <alignment vertical="center"/>
    </xf>
    <xf numFmtId="1" fontId="0" fillId="9" borderId="1" xfId="0" applyNumberFormat="1" applyFill="1" applyBorder="1" applyAlignment="1">
      <alignment vertical="center"/>
    </xf>
    <xf numFmtId="171" fontId="0" fillId="6" borderId="0" xfId="1" applyNumberFormat="1" applyFont="1" applyFill="1" applyAlignment="1">
      <alignment vertical="center"/>
    </xf>
    <xf numFmtId="0" fontId="0" fillId="3" borderId="2" xfId="0" applyFill="1" applyBorder="1" applyAlignment="1">
      <alignment horizontal="left" vertical="center"/>
    </xf>
    <xf numFmtId="2" fontId="0" fillId="25" borderId="1" xfId="0" applyNumberFormat="1" applyFill="1" applyBorder="1" applyAlignment="1">
      <alignment vertical="center"/>
    </xf>
    <xf numFmtId="0" fontId="0" fillId="0" borderId="4" xfId="0" applyBorder="1" applyAlignment="1">
      <alignment horizontal="center" vertical="center" textRotation="90"/>
    </xf>
    <xf numFmtId="0" fontId="17" fillId="11" borderId="5" xfId="0" applyFont="1" applyFill="1" applyBorder="1" applyAlignment="1">
      <alignment horizontal="center" vertical="center"/>
    </xf>
    <xf numFmtId="0" fontId="17" fillId="11" borderId="7" xfId="0" applyFont="1" applyFill="1" applyBorder="1" applyAlignment="1">
      <alignment horizontal="center" vertical="center"/>
    </xf>
    <xf numFmtId="0" fontId="17" fillId="11" borderId="8" xfId="0" applyFont="1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0" fillId="16" borderId="4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17" fillId="11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8" fillId="11" borderId="4" xfId="0" applyFont="1" applyFill="1" applyBorder="1" applyAlignment="1">
      <alignment horizontal="center" vertical="center"/>
    </xf>
    <xf numFmtId="0" fontId="20" fillId="22" borderId="34" xfId="2" applyFont="1" applyFill="1" applyBorder="1" applyAlignment="1">
      <alignment horizontal="center" vertical="center" wrapText="1"/>
    </xf>
    <xf numFmtId="0" fontId="20" fillId="22" borderId="35" xfId="2" applyFont="1" applyFill="1" applyBorder="1" applyAlignment="1">
      <alignment horizontal="center" vertical="center" wrapText="1"/>
    </xf>
    <xf numFmtId="0" fontId="20" fillId="22" borderId="32" xfId="2" applyFont="1" applyFill="1" applyBorder="1" applyAlignment="1">
      <alignment horizontal="center" vertical="center" wrapText="1"/>
    </xf>
    <xf numFmtId="0" fontId="21" fillId="22" borderId="9" xfId="2" applyFont="1" applyFill="1" applyBorder="1" applyAlignment="1">
      <alignment horizontal="center" vertical="center" wrapText="1"/>
    </xf>
    <xf numFmtId="0" fontId="21" fillId="22" borderId="13" xfId="2" applyFont="1" applyFill="1" applyBorder="1" applyAlignment="1">
      <alignment horizontal="center" vertical="center" wrapText="1"/>
    </xf>
    <xf numFmtId="0" fontId="21" fillId="22" borderId="36" xfId="2" applyFont="1" applyFill="1" applyBorder="1" applyAlignment="1">
      <alignment horizontal="center" vertical="center" wrapText="1"/>
    </xf>
    <xf numFmtId="0" fontId="21" fillId="22" borderId="29" xfId="2" applyFont="1" applyFill="1" applyBorder="1" applyAlignment="1">
      <alignment horizontal="center" vertical="center" wrapText="1"/>
    </xf>
    <xf numFmtId="0" fontId="21" fillId="22" borderId="37" xfId="2" applyFont="1" applyFill="1" applyBorder="1" applyAlignment="1">
      <alignment horizontal="center" vertical="center" wrapText="1"/>
    </xf>
    <xf numFmtId="0" fontId="21" fillId="22" borderId="30" xfId="2" applyFont="1" applyFill="1" applyBorder="1" applyAlignment="1">
      <alignment horizontal="center" vertical="center" wrapText="1"/>
    </xf>
  </cellXfs>
  <cellStyles count="6">
    <cellStyle name="Milliers" xfId="3" builtinId="3"/>
    <cellStyle name="Normal" xfId="0" builtinId="0"/>
    <cellStyle name="Normal 2" xfId="2"/>
    <cellStyle name="Normal 3" xfId="4"/>
    <cellStyle name="Pourcentage" xfId="1" builtinId="5"/>
    <cellStyle name="Pourcentage 2" xfId="5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hibault CALLE" id="{9923CCD6-40CA-47DE-BDB6-3A081C8D0CFF}" userId="Thibault CALLE" providerId="None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2" dT="2021-02-25T13:03:10.89" personId="{9923CCD6-40CA-47DE-BDB6-3A081C8D0CFF}" id="{23E7942B-74DB-4E33-82E9-98EDD56F012C}">
    <text>S10 et S10B uniquement</text>
  </threadedComment>
  <threadedComment ref="E8" dT="2021-03-31T17:19:14.75" personId="{9923CCD6-40CA-47DE-BDB6-3A081C8D0CFF}" id="{E4F48549-6CFD-43B9-AD76-EB88B6DEEF62}">
    <text>Moyenne BDD OA 2019</text>
  </threadedComment>
  <threadedComment ref="F8" dT="2021-03-31T17:19:30.89" personId="{9923CCD6-40CA-47DE-BDB6-3A081C8D0CFF}" id="{31B9498B-FDB0-4614-8BEA-0CBA74458CC8}">
    <text>Moyenne BDD OA 2019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6">
    <tabColor theme="5"/>
  </sheetPr>
  <dimension ref="A1:AK69"/>
  <sheetViews>
    <sheetView tabSelected="1" topLeftCell="A7" zoomScale="80" workbookViewId="0">
      <selection activeCell="C5" sqref="C5"/>
    </sheetView>
  </sheetViews>
  <sheetFormatPr baseColWidth="10" defaultColWidth="11.42578125" defaultRowHeight="15" x14ac:dyDescent="0.25"/>
  <cols>
    <col min="1" max="1" width="11.42578125" style="11"/>
    <col min="2" max="2" width="21.5703125" style="11" customWidth="1"/>
    <col min="3" max="3" width="14.85546875" style="27" customWidth="1"/>
    <col min="4" max="4" width="13.5703125" style="11" customWidth="1"/>
    <col min="5" max="5" width="13.28515625" style="11" customWidth="1"/>
    <col min="6" max="11" width="10" style="11" customWidth="1"/>
    <col min="12" max="12" width="11" style="11" bestFit="1" customWidth="1"/>
    <col min="13" max="13" width="10" style="11" customWidth="1"/>
    <col min="14" max="14" width="11.140625" style="11" customWidth="1"/>
    <col min="15" max="15" width="11.28515625" style="11" customWidth="1"/>
    <col min="16" max="16" width="12.5703125" style="11" customWidth="1"/>
    <col min="17" max="19" width="10" style="11" customWidth="1"/>
    <col min="20" max="20" width="12.42578125" style="11" customWidth="1"/>
    <col min="21" max="24" width="10" style="11" customWidth="1"/>
    <col min="25" max="25" width="12.85546875" style="11" bestFit="1" customWidth="1"/>
    <col min="26" max="28" width="10" style="11" customWidth="1"/>
    <col min="29" max="29" width="12.28515625" style="11" customWidth="1"/>
    <col min="30" max="33" width="10" style="11" customWidth="1"/>
    <col min="34" max="16384" width="11.42578125" style="11"/>
  </cols>
  <sheetData>
    <row r="1" spans="1:37" ht="17.25" customHeight="1" x14ac:dyDescent="0.25"/>
    <row r="2" spans="1:37" ht="17.25" customHeight="1" x14ac:dyDescent="0.25">
      <c r="A2" s="128"/>
      <c r="C2" s="156" t="s">
        <v>0</v>
      </c>
      <c r="D2" s="12"/>
      <c r="F2" s="13" t="s">
        <v>1</v>
      </c>
      <c r="G2" s="14"/>
      <c r="I2" s="15"/>
    </row>
    <row r="3" spans="1:37" ht="17.25" customHeight="1" x14ac:dyDescent="0.25">
      <c r="A3" s="128"/>
    </row>
    <row r="4" spans="1:37" ht="17.25" customHeight="1" x14ac:dyDescent="0.25">
      <c r="C4" s="54" t="s">
        <v>2</v>
      </c>
      <c r="D4" s="16"/>
      <c r="E4" s="16"/>
      <c r="F4" s="16"/>
      <c r="H4" s="17" t="s">
        <v>3</v>
      </c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37" ht="17.25" customHeight="1" x14ac:dyDescent="0.25">
      <c r="C5" s="119" t="s">
        <v>4</v>
      </c>
      <c r="D5" s="19" t="s">
        <v>5</v>
      </c>
      <c r="H5" s="20" t="s">
        <v>6</v>
      </c>
      <c r="I5" s="121">
        <f>(SUM(D28:W28) + pourcentage_annéek_tref * SUM(D29:W29)) * (OPEX_MES - VLOOKUP(YEAR(date_révision),OPEX!A4:I64, MATCH(typologie_simplifiée_OPEX_productible, OPEX!B2:I2,0) + MATCH(plage_puissance,OPEX!B3:I3,0))  * (1 + 0.25 * (MC_ZNI?="ZNI"))) / (Tref -1100*VLOOKUP(YEAR(date_révision),OPEX!A4:I64,MATCH(typologie_simplifiée_OPEX_productible,OPEX!B2:I2,0)+MATCH(plage_puissance,OPEX!B3:I3,0))*(1+0.25*(MC_ZNI?="ZNI"))/1500)</f>
        <v>0.64072876770595322</v>
      </c>
      <c r="K5" s="20" t="s">
        <v>298</v>
      </c>
      <c r="L5" s="153">
        <f>CAPEX*10^3 + SUM(D27:W27) * (OPEX_MES - (OPEX_MES - VLOOKUP(YEAR(date_révision),OPEX!A4:I64, MATCH(typologie_simplifiée_OPEX_productible, OPEX!B2:I2,0) + MATCH(plage_puissance,OPEX!B3:I3,0))  * (1 + 0.25 * (MC_ZNI?="ZNI"))) / (Tref - 1100 *  VLOOKUP(YEAR(date_révision),OPEX!A4:I64, MATCH(typologie_simplifiée_OPEX_productible, OPEX!B2:I2,0) + MATCH(plage_puissance,OPEX!B3:I3,0)) * (1 + 0.25 * (MC_ZNI?="ZNI")) / 1500) * Tref)</f>
        <v>2685.6513628387243</v>
      </c>
      <c r="N5" s="20" t="s">
        <v>299</v>
      </c>
      <c r="O5" s="121">
        <f>SUM(D36:W36) + pourcentage_annéek_trev * SUM(D39:W39)</f>
        <v>3.1075427382486462</v>
      </c>
      <c r="Q5" s="21" cm="1">
        <f t="array" ref="Q5">INDEX(CAPEX!B4:Q59,MATCH(trimestre_MES,CAPEX!A4:A59,0),MATCH(typologie_simplifiée_CAPEX,CAPEX!B2:Q2,0)+MATCH(plage_puissance,CAPEX!B3:E3,0)-1)
* (1 + 0.25*(MC_ZNI?="ZNI"))</f>
        <v>2.4638190552441963</v>
      </c>
      <c r="R5" s="19" t="s">
        <v>46</v>
      </c>
    </row>
    <row r="6" spans="1:37" ht="17.25" customHeight="1" x14ac:dyDescent="0.25">
      <c r="C6" s="119" t="s">
        <v>283</v>
      </c>
      <c r="D6" s="19" t="s">
        <v>8</v>
      </c>
      <c r="H6" s="20" t="s">
        <v>9</v>
      </c>
      <c r="I6" s="121">
        <f>(SUM(D30:W30) + pourcentage_annéek_trev * SUM(D29:W29)) * (OPEX_MES - VLOOKUP(YEAR(date_révision),OPEX!A4:I64, MATCH(typologie_simplifiée_OPEX_productible, OPEX!B2:I2,0) + MATCH(plage_puissance,OPEX!B3:I3,0))  * (1 + 0.25 * (MC_ZNI?="ZNI"))) / (Tref - 1100*VLOOKUP(YEAR(date_révision),OPEX!A4:I64,MATCH(typologie_simplifiée_OPEX_productible,OPEX!B2:I2,0)+MATCH(plage_puissance,OPEX!B3:I3,0))*(1+0.25*(MC_ZNI?="ZNI"))/1500)</f>
        <v>0.35911547201339589</v>
      </c>
      <c r="K6" s="20" t="s">
        <v>300</v>
      </c>
      <c r="L6" s="121">
        <f>SUM(D35:W35) + pourcentage_annéek_tref * SUM(D38:W38)</f>
        <v>5.8480899039240199</v>
      </c>
      <c r="N6" s="20" t="s">
        <v>306</v>
      </c>
      <c r="O6" s="154">
        <f>disponibilité</f>
        <v>970.01648989900889</v>
      </c>
      <c r="Q6" s="21" cm="1">
        <f t="array" ref="Q6">INDEX(OPEX!B4:I64, MATCH(YEAR(Modèle!date_MES), OPEX!A4:A64,0), MATCH(typologie_simplifiée_OPEX_productible, OPEX!B2:I2,0) + MATCH(Modèle!plage_puissance, OPEX!B3:I3, 0) - 1) * (1 + 0.25 * (MC_ZNI?="ZNI"))</f>
        <v>62.792882387440464</v>
      </c>
      <c r="R6" s="152" t="s">
        <v>302</v>
      </c>
    </row>
    <row r="7" spans="1:37" ht="17.25" customHeight="1" x14ac:dyDescent="0.25">
      <c r="C7" s="119" t="s">
        <v>71</v>
      </c>
      <c r="D7" s="19" t="s">
        <v>12</v>
      </c>
      <c r="Q7" s="21">
        <f>W20</f>
        <v>60.097660452556831</v>
      </c>
      <c r="R7" s="152" t="s">
        <v>307</v>
      </c>
    </row>
    <row r="8" spans="1:37" ht="17.25" customHeight="1" x14ac:dyDescent="0.25">
      <c r="B8" s="22"/>
      <c r="C8" s="119" t="s">
        <v>13</v>
      </c>
      <c r="D8" s="19" t="s">
        <v>14</v>
      </c>
      <c r="H8" s="25" t="s">
        <v>15</v>
      </c>
      <c r="I8" s="25"/>
      <c r="J8" s="25"/>
      <c r="K8" s="25"/>
    </row>
    <row r="9" spans="1:37" ht="17.25" customHeight="1" x14ac:dyDescent="0.25">
      <c r="C9" s="141">
        <v>700</v>
      </c>
      <c r="D9" s="19" t="s">
        <v>16</v>
      </c>
      <c r="I9" s="122" t="s">
        <v>308</v>
      </c>
      <c r="J9" s="139" t="str">
        <f>IF(Trevision_théorique&gt;Tref_k,"NON","OUI")</f>
        <v>OUI</v>
      </c>
      <c r="Q9" s="43"/>
    </row>
    <row r="10" spans="1:37" ht="17.25" customHeight="1" x14ac:dyDescent="0.25">
      <c r="C10" s="126">
        <v>41275</v>
      </c>
      <c r="D10" s="19" t="s">
        <v>17</v>
      </c>
      <c r="I10" s="122" t="s">
        <v>309</v>
      </c>
      <c r="J10" s="139" t="str">
        <f>IF(Trevision_théorique&lt;=1100*W20/disponibilité,"OUI","NON")</f>
        <v>NON</v>
      </c>
      <c r="N10" s="120"/>
    </row>
    <row r="11" spans="1:37" ht="17.25" customHeight="1" x14ac:dyDescent="0.25">
      <c r="C11" s="126">
        <v>41275</v>
      </c>
      <c r="D11" s="19" t="s">
        <v>18</v>
      </c>
      <c r="I11" s="122" t="s">
        <v>310</v>
      </c>
      <c r="J11" s="138">
        <f>coefficient_M / (10^-3*disponibilité*coefficient_X - coefficient_B) + Tref * (coefficient_A - coefficient_N*10^-3*disponibilité) / (10^-3*disponibilité*coefficient_X - coefficient_B)</f>
        <v>333.07243269476419</v>
      </c>
      <c r="K11" s="19" t="s">
        <v>19</v>
      </c>
      <c r="N11" s="155"/>
      <c r="V11" s="43"/>
      <c r="AH11" s="20"/>
    </row>
    <row r="12" spans="1:37" ht="17.25" customHeight="1" x14ac:dyDescent="0.25">
      <c r="B12" s="43"/>
      <c r="I12" s="123" t="s">
        <v>311</v>
      </c>
      <c r="J12" s="26">
        <f>IF(révision?="NON",Tref_k, MAX(Trevision_théorique, 1100*W20/disponibilité))</f>
        <v>333.07243269476419</v>
      </c>
      <c r="K12" s="19" t="s">
        <v>19</v>
      </c>
      <c r="Q12" s="43"/>
      <c r="AH12" s="20"/>
    </row>
    <row r="13" spans="1:37" ht="17.25" customHeight="1" x14ac:dyDescent="0.25">
      <c r="F13" s="43"/>
      <c r="I13" s="19"/>
      <c r="J13" s="26">
        <f>Trévision/10</f>
        <v>33.307243269476416</v>
      </c>
      <c r="K13" s="19" t="s">
        <v>312</v>
      </c>
      <c r="Z13" s="122"/>
    </row>
    <row r="14" spans="1:37" ht="17.25" customHeight="1" x14ac:dyDescent="0.25">
      <c r="AK14" s="120"/>
    </row>
    <row r="15" spans="1:37" ht="17.25" customHeight="1" x14ac:dyDescent="0.25"/>
    <row r="16" spans="1:37" ht="17.25" customHeight="1" x14ac:dyDescent="0.25">
      <c r="AA16" s="39"/>
    </row>
    <row r="17" spans="1:26" ht="17.25" customHeight="1" x14ac:dyDescent="0.25">
      <c r="A17" s="131"/>
      <c r="B17" s="23"/>
      <c r="C17" s="117" t="s">
        <v>23</v>
      </c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</row>
    <row r="18" spans="1:26" ht="17.25" customHeight="1" x14ac:dyDescent="0.25">
      <c r="C18" s="27" t="s">
        <v>24</v>
      </c>
      <c r="D18" s="28">
        <f>YEAR(date_MES)</f>
        <v>2013</v>
      </c>
      <c r="E18" s="28">
        <f>D18+1</f>
        <v>2014</v>
      </c>
      <c r="F18" s="28">
        <f t="shared" ref="F18:W18" si="0">E18+1</f>
        <v>2015</v>
      </c>
      <c r="G18" s="28">
        <f t="shared" si="0"/>
        <v>2016</v>
      </c>
      <c r="H18" s="28">
        <f t="shared" si="0"/>
        <v>2017</v>
      </c>
      <c r="I18" s="28">
        <f t="shared" si="0"/>
        <v>2018</v>
      </c>
      <c r="J18" s="28">
        <f t="shared" si="0"/>
        <v>2019</v>
      </c>
      <c r="K18" s="28">
        <f t="shared" si="0"/>
        <v>2020</v>
      </c>
      <c r="L18" s="28">
        <f t="shared" si="0"/>
        <v>2021</v>
      </c>
      <c r="M18" s="28">
        <f t="shared" si="0"/>
        <v>2022</v>
      </c>
      <c r="N18" s="28">
        <f t="shared" si="0"/>
        <v>2023</v>
      </c>
      <c r="O18" s="28">
        <f t="shared" si="0"/>
        <v>2024</v>
      </c>
      <c r="P18" s="28">
        <f t="shared" si="0"/>
        <v>2025</v>
      </c>
      <c r="Q18" s="28">
        <f t="shared" si="0"/>
        <v>2026</v>
      </c>
      <c r="R18" s="28">
        <f t="shared" si="0"/>
        <v>2027</v>
      </c>
      <c r="S18" s="28">
        <f t="shared" si="0"/>
        <v>2028</v>
      </c>
      <c r="T18" s="28">
        <f t="shared" si="0"/>
        <v>2029</v>
      </c>
      <c r="U18" s="28">
        <f t="shared" si="0"/>
        <v>2030</v>
      </c>
      <c r="V18" s="28">
        <f t="shared" si="0"/>
        <v>2031</v>
      </c>
      <c r="W18" s="28">
        <f t="shared" si="0"/>
        <v>2032</v>
      </c>
      <c r="Y18" s="42" t="str">
        <f>INDEX('Modulation géo'!C2:C101,MATCH(département,'Modulation géo'!B2:B101,0),1)</f>
        <v>Île-de-France</v>
      </c>
      <c r="Z18" s="19" t="s">
        <v>25</v>
      </c>
    </row>
    <row r="19" spans="1:26" ht="17.25" customHeight="1" x14ac:dyDescent="0.25">
      <c r="C19" s="27" t="s">
        <v>26</v>
      </c>
      <c r="D19" s="38">
        <v>1</v>
      </c>
      <c r="E19" s="38">
        <f>D$19+1</f>
        <v>2</v>
      </c>
      <c r="F19" s="38">
        <f t="shared" ref="F19:W19" si="1">E$19+1</f>
        <v>3</v>
      </c>
      <c r="G19" s="38">
        <f t="shared" si="1"/>
        <v>4</v>
      </c>
      <c r="H19" s="38">
        <f t="shared" si="1"/>
        <v>5</v>
      </c>
      <c r="I19" s="38">
        <f t="shared" si="1"/>
        <v>6</v>
      </c>
      <c r="J19" s="38">
        <f t="shared" si="1"/>
        <v>7</v>
      </c>
      <c r="K19" s="38">
        <f t="shared" si="1"/>
        <v>8</v>
      </c>
      <c r="L19" s="38">
        <f t="shared" si="1"/>
        <v>9</v>
      </c>
      <c r="M19" s="38">
        <f t="shared" si="1"/>
        <v>10</v>
      </c>
      <c r="N19" s="38">
        <f t="shared" si="1"/>
        <v>11</v>
      </c>
      <c r="O19" s="38">
        <f t="shared" si="1"/>
        <v>12</v>
      </c>
      <c r="P19" s="38">
        <f t="shared" si="1"/>
        <v>13</v>
      </c>
      <c r="Q19" s="38">
        <f t="shared" si="1"/>
        <v>14</v>
      </c>
      <c r="R19" s="38">
        <f t="shared" si="1"/>
        <v>15</v>
      </c>
      <c r="S19" s="38">
        <f t="shared" si="1"/>
        <v>16</v>
      </c>
      <c r="T19" s="38">
        <f t="shared" si="1"/>
        <v>17</v>
      </c>
      <c r="U19" s="38">
        <f t="shared" si="1"/>
        <v>18</v>
      </c>
      <c r="V19" s="38">
        <f t="shared" si="1"/>
        <v>19</v>
      </c>
      <c r="W19" s="38">
        <f t="shared" si="1"/>
        <v>20</v>
      </c>
      <c r="Y19" s="42" t="str">
        <f>IF(OR(AND(code_contrat="S06",typologie_détaillée="non intégré au bâti"),typologie_détaillée="au sol Axe Pivotant = 0",typologie_détaillée="au sol Axe Pivotant = 1",typologie_détaillée="au sol Axe Pivotant = 2"),"sol",
IF(OR(typologie_détaillée="intégré au bâti Autre",typologie_détaillée="mixte (diverses sortes d'intégré, ou intégré et non intégré)"),"intégration au bati",
IF(typologie_détaillée="intégré au bâti Simplifié","intégration simplifié au bati","surimposé")))</f>
        <v>surimposé</v>
      </c>
      <c r="Z19" s="19" t="s">
        <v>27</v>
      </c>
    </row>
    <row r="20" spans="1:26" ht="17.25" customHeight="1" x14ac:dyDescent="0.25">
      <c r="C20" s="27" t="s">
        <v>295</v>
      </c>
      <c r="D20" s="29" cm="1">
        <f t="array" ref="D20">IF(D19="","",
(1 + 0.25 * (MC_ZNI?="ZNI")) * IF(D18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E20" s="29" cm="1">
        <f t="array" ref="E20">IF(E19="","",
(1 + 0.25 * (MC_ZNI?="ZNI")) * IF(E18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F20" s="29" cm="1">
        <f t="array" ref="F20">IF(F19="","",
(1 + 0.25 * (MC_ZNI?="ZNI")) * IF(F18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G20" s="29" cm="1">
        <f t="array" ref="G20">IF(G19="","",
(1 + 0.25 * (MC_ZNI?="ZNI")) * IF(G18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H20" s="29" cm="1">
        <f t="array" ref="H20">IF(H19="","",
(1 + 0.25 * (MC_ZNI?="ZNI")) * IF(H18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I20" s="29" cm="1">
        <f t="array" ref="I20">IF(I19="","",
(1 + 0.25 * (MC_ZNI?="ZNI")) * IF(I18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J20" s="29" cm="1">
        <f t="array" ref="J20">IF(J19="","",
(1 + 0.25 * (MC_ZNI?="ZNI")) * IF(J18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K20" s="29" cm="1">
        <f t="array" ref="K20">IF(K19="","",
(1 + 0.25 * (MC_ZNI?="ZNI")) * IF(K18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L20" s="29" cm="1">
        <f t="array" ref="L20">IF(L19="","",
(1 + 0.25 * (MC_ZNI?="ZNI")) * IF(L18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62.792882387440464</v>
      </c>
      <c r="M20" s="29" cm="1">
        <f t="array" ref="M20">IF(M19="","",
(1 + 0.25 * (MC_ZNI?="ZNI")) * IF(M18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N20" s="29" cm="1">
        <f t="array" ref="N20">IF(N19="","",
(1 + 0.25 * (MC_ZNI?="ZNI")) * IF(N18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O20" s="29" cm="1">
        <f t="array" ref="O20">IF(O19="","",
(1 + 0.25 * (MC_ZNI?="ZNI")) * IF(O18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P20" s="29" cm="1">
        <f t="array" ref="P20">IF(P19="","",
(1 + 0.25 * (MC_ZNI?="ZNI")) * IF(P18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Q20" s="29" cm="1">
        <f t="array" ref="Q20">IF(Q19="","",
(1 + 0.25 * (MC_ZNI?="ZNI")) * IF(Q18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R20" s="29" cm="1">
        <f t="array" ref="R20">IF(R19="","",
(1 + 0.25 * (MC_ZNI?="ZNI")) * IF(R18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S20" s="29" cm="1">
        <f t="array" ref="S20">IF(S19="","",
(1 + 0.25 * (MC_ZNI?="ZNI")) * IF(S18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T20" s="29" cm="1">
        <f t="array" ref="T20">IF(T19="","",
(1 + 0.25 * (MC_ZNI?="ZNI")) * IF(T18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U20" s="29" cm="1">
        <f t="array" ref="U20">IF(U19="","",
(1 + 0.25 * (MC_ZNI?="ZNI")) * IF(U18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V20" s="29" cm="1">
        <f t="array" ref="V20">IF(V19="","",
(1 + 0.25 * (MC_ZNI?="ZNI")) * IF(V18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W20" s="29" cm="1">
        <f t="array" ref="W20">IF(W19="","",
(1 + 0.25 * (MC_ZNI?="ZNI")) * IF(W18 &lt;= YEAR(date_révision),
INDEX(OPEX!$B$4:$I$19,MATCH(YEAR(date_MES),OPEX!$A$4:$A$19,0),MATCH(typologie_simplifiée_OPEX_productible,OPEX!$B$2:$I$2,0)+MATCH(plage_puissance,OPEX!$B$3:$E$3,0)-1),
MIN(OPEX_MES, MAX(INDEX(OPEX!$B$4:$I$19,MATCH(YEAR(date_révision),OPEX!$A$4:$A$19,0),MATCH(typologie_simplifiée_OPEX_productible,OPEX!$B$2:$I$2,0)+MATCH(plage_puissance,OPEX!$B$3:$E$3,0)-1),
(OPEX_MES -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 * Tref) + Trevision_théorique * (OPEX_MES - VLOOKUP(YEAR(date_révision),OPEX!$A$4:$I$64, MATCH(typologie_simplifiée_OPEX_productible, OPEX!$B$2:$I$2,0) + MATCH(plage_puissance,OPEX!$B$3:$I$3,0))  * (1 + 0.25 * (MC_ZNI?="ZNI"))) / (Tref - 1100 *  VLOOKUP(YEAR(date_révision),OPEX!$A$4:$I$64, MATCH(typologie_simplifiée_OPEX_productible, OPEX!$B$2:$I$2,0) + MATCH(plage_puissance,OPEX!$B$3:$I$3,0)) * (1 + 0.25 * (MC_ZNI?="ZNI")) / 1500))
)))</f>
        <v>60.097660452556831</v>
      </c>
      <c r="Y20" s="42" t="str">
        <f>IF(typologie_simplifiée_CAPEX="sol","sol","batiment")</f>
        <v>batiment</v>
      </c>
      <c r="Z20" s="19" t="s">
        <v>28</v>
      </c>
    </row>
    <row r="21" spans="1:26" ht="17.25" customHeight="1" x14ac:dyDescent="0.25">
      <c r="C21" s="27" t="s">
        <v>296</v>
      </c>
      <c r="D21" s="29">
        <f>IF(code_contrat="S06",
INDEX('Indices INSEE'!$D$4:$L$624,MATCH(DATE(D18,MONTH(date_MES),1),'Indices INSEE'!$C$4:$C$624,0),3),
INDEX('Indices INSEE'!$D$4:$L$624,MATCH(DATE(IF(MONTH(date_MES)&gt;10,D18,D18-1),11,1),'Indices INSEE'!$C$4:$C$624,0),4))</f>
        <v>110.6</v>
      </c>
      <c r="E21" s="29">
        <f>IF(code_contrat="S06",INDEX('Indices INSEE'!$D$4:$L$624,MATCH(DATE(E18,MONTH(date_MES),1),'Indices INSEE'!$C$4:$C$624,0),3),
INDEX('Indices INSEE'!$D$4:$L$624,MATCH(DATE(IF(MONTH(date_MES)&gt;10,E18,E18-1),11,1),'Indices INSEE'!$C$4:$C$624,0),4))</f>
        <v>112.1</v>
      </c>
      <c r="F21" s="29">
        <f>IF(code_contrat="S06",INDEX('Indices INSEE'!$D$4:$L$624,MATCH(DATE(F18,MONTH(date_MES),1),'Indices INSEE'!$C$4:$C$624,0),3),
INDEX('Indices INSEE'!$D$4:$L$624,MATCH(DATE(IF(MONTH(date_MES)&gt;10,F18,F18-1),11,1),'Indices INSEE'!$C$4:$C$624,0),4))</f>
        <v>113.8</v>
      </c>
      <c r="G21" s="29">
        <f>IF(code_contrat="S06",INDEX('Indices INSEE'!$D$4:$L$624,MATCH(DATE(G18,MONTH(date_MES),1),'Indices INSEE'!$C$4:$C$624,0),3),
INDEX('Indices INSEE'!$D$4:$L$624,MATCH(DATE(IF(MONTH(date_MES)&gt;10,G18,G18-1),11,1),'Indices INSEE'!$C$4:$C$624,0),4))</f>
        <v>115.6</v>
      </c>
      <c r="H21" s="29">
        <f>IF(code_contrat="S06",INDEX('Indices INSEE'!$D$4:$L$624,MATCH(DATE(H18,MONTH(date_MES),1),'Indices INSEE'!$C$4:$C$624,0),3),
INDEX('Indices INSEE'!$D$4:$L$624,MATCH(DATE(IF(MONTH(date_MES)&gt;10,H18,H18-1),11,1),'Indices INSEE'!$C$4:$C$624,0),4))</f>
        <v>117.9</v>
      </c>
      <c r="I21" s="29">
        <f>IF(code_contrat="S06",INDEX('Indices INSEE'!$D$4:$L$624,MATCH(DATE(I18,MONTH(date_MES),1),'Indices INSEE'!$C$4:$C$624,0),3),
INDEX('Indices INSEE'!$D$4:$L$624,MATCH(DATE(IF(MONTH(date_MES)&gt;10,I18,I18-1),11,1),'Indices INSEE'!$C$4:$C$624,0),4))</f>
        <v>119.3</v>
      </c>
      <c r="J21" s="29">
        <f>IF(code_contrat="S06",INDEX('Indices INSEE'!$D$4:$L$624,MATCH(DATE(J18,MONTH(date_MES),1),'Indices INSEE'!$C$4:$C$624,0),3),
INDEX('Indices INSEE'!$D$4:$L$624,MATCH(DATE(IF(MONTH(date_MES)&gt;10,J18,J18-1),11,1),'Indices INSEE'!$C$4:$C$624,0),4))</f>
        <v>122.2</v>
      </c>
      <c r="K21" s="29">
        <f>IF(code_contrat="S06",INDEX('Indices INSEE'!$D$4:$L$624,MATCH(DATE(K18,MONTH(date_MES),1),'Indices INSEE'!$C$4:$C$624,0),3),
INDEX('Indices INSEE'!$D$4:$L$624,MATCH(DATE(IF(MONTH(date_MES)&gt;10,K18,K18-1),11,1),'Indices INSEE'!$C$4:$C$624,0),4))</f>
        <v>124.64400000000001</v>
      </c>
      <c r="L21" s="29">
        <f>IF(code_contrat="S06",INDEX('Indices INSEE'!$D$4:$L$624,MATCH(DATE(L18,MONTH(date_MES),1),'Indices INSEE'!$C$4:$C$624,0),3),
INDEX('Indices INSEE'!$D$4:$L$624,MATCH(DATE(IF(MONTH(date_MES)&gt;10,L18,L18-1),11,1),'Indices INSEE'!$C$4:$C$624,0),4))</f>
        <v>127.13688</v>
      </c>
      <c r="M21" s="29">
        <f>IF(code_contrat="S06",INDEX('Indices INSEE'!$D$4:$L$624,MATCH(DATE(M18,MONTH(date_MES),1),'Indices INSEE'!$C$4:$C$624,0),3),
INDEX('Indices INSEE'!$D$4:$L$624,MATCH(DATE(IF(MONTH(date_MES)&gt;10,M18,M18-1),11,1),'Indices INSEE'!$C$4:$C$624,0),4))</f>
        <v>129.6796176</v>
      </c>
      <c r="N21" s="29">
        <f>IF(code_contrat="S06",INDEX('Indices INSEE'!$D$4:$L$624,MATCH(DATE(N18,MONTH(date_MES),1),'Indices INSEE'!$C$4:$C$624,0),3),
INDEX('Indices INSEE'!$D$4:$L$624,MATCH(DATE(IF(MONTH(date_MES)&gt;10,N18,N18-1),11,1),'Indices INSEE'!$C$4:$C$624,0),4))</f>
        <v>132.273209952</v>
      </c>
      <c r="O21" s="29">
        <f>IF(code_contrat="S06",INDEX('Indices INSEE'!$D$4:$L$624,MATCH(DATE(O18,MONTH(date_MES),1),'Indices INSEE'!$C$4:$C$624,0),3),
INDEX('Indices INSEE'!$D$4:$L$624,MATCH(DATE(IF(MONTH(date_MES)&gt;10,O18,O18-1),11,1),'Indices INSEE'!$C$4:$C$624,0),4))</f>
        <v>134.91867415103999</v>
      </c>
      <c r="P21" s="29">
        <f>IF(code_contrat="S06",INDEX('Indices INSEE'!$D$4:$L$624,MATCH(DATE(P18,MONTH(date_MES),1),'Indices INSEE'!$C$4:$C$624,0),3),
INDEX('Indices INSEE'!$D$4:$L$624,MATCH(DATE(IF(MONTH(date_MES)&gt;10,P18,P18-1),11,1),'Indices INSEE'!$C$4:$C$624,0),4))</f>
        <v>137.61704763406081</v>
      </c>
      <c r="Q21" s="29">
        <f>IF(code_contrat="S06",INDEX('Indices INSEE'!$D$4:$L$624,MATCH(DATE(Q18,MONTH(date_MES),1),'Indices INSEE'!$C$4:$C$624,0),3),
INDEX('Indices INSEE'!$D$4:$L$624,MATCH(DATE(IF(MONTH(date_MES)&gt;10,Q18,Q18-1),11,1),'Indices INSEE'!$C$4:$C$624,0),4))</f>
        <v>140.36938858674202</v>
      </c>
      <c r="R21" s="29">
        <f>IF(code_contrat="S06",INDEX('Indices INSEE'!$D$4:$L$624,MATCH(DATE(R18,MONTH(date_MES),1),'Indices INSEE'!$C$4:$C$624,0),3),
INDEX('Indices INSEE'!$D$4:$L$624,MATCH(DATE(IF(MONTH(date_MES)&gt;10,R18,R18-1),11,1),'Indices INSEE'!$C$4:$C$624,0),4))</f>
        <v>143.17677635847687</v>
      </c>
      <c r="S21" s="29">
        <f>IF(code_contrat="S06",INDEX('Indices INSEE'!$D$4:$L$624,MATCH(DATE(S18,MONTH(date_MES),1),'Indices INSEE'!$C$4:$C$624,0),3),
INDEX('Indices INSEE'!$D$4:$L$624,MATCH(DATE(IF(MONTH(date_MES)&gt;10,S18,S18-1),11,1),'Indices INSEE'!$C$4:$C$624,0),4))</f>
        <v>146.04031188564642</v>
      </c>
      <c r="T21" s="29">
        <f>IF(code_contrat="S06",INDEX('Indices INSEE'!$D$4:$L$624,MATCH(DATE(T18,MONTH(date_MES),1),'Indices INSEE'!$C$4:$C$624,0),3),
INDEX('Indices INSEE'!$D$4:$L$624,MATCH(DATE(IF(MONTH(date_MES)&gt;10,T18,T18-1),11,1),'Indices INSEE'!$C$4:$C$624,0),4))</f>
        <v>148.96111812335934</v>
      </c>
      <c r="U21" s="29">
        <f>IF(code_contrat="S06",INDEX('Indices INSEE'!$D$4:$L$624,MATCH(DATE(U18,MONTH(date_MES),1),'Indices INSEE'!$C$4:$C$624,0),3),
INDEX('Indices INSEE'!$D$4:$L$624,MATCH(DATE(IF(MONTH(date_MES)&gt;10,U18,U18-1),11,1),'Indices INSEE'!$C$4:$C$624,0),4))</f>
        <v>151.94034048582654</v>
      </c>
      <c r="V21" s="29">
        <f>IF(code_contrat="S06",INDEX('Indices INSEE'!$D$4:$L$624,MATCH(DATE(V18,MONTH(date_MES),1),'Indices INSEE'!$C$4:$C$624,0),3),
INDEX('Indices INSEE'!$D$4:$L$624,MATCH(DATE(IF(MONTH(date_MES)&gt;10,V18,V18-1),11,1),'Indices INSEE'!$C$4:$C$624,0),4))</f>
        <v>154.97914729554307</v>
      </c>
      <c r="W21" s="29">
        <f>IF(code_contrat="S06",INDEX('Indices INSEE'!$D$4:$L$624,MATCH(DATE(W18,MONTH(date_MES),1),'Indices INSEE'!$C$4:$C$624,0),3),
INDEX('Indices INSEE'!$D$4:$L$624,MATCH(DATE(IF(MONTH(date_MES)&gt;10,W18,W18-1),11,1),'Indices INSEE'!$C$4:$C$624,0),4))</f>
        <v>158.07873024145394</v>
      </c>
      <c r="Y21" s="42" t="str">
        <f>IF(puissance &lt;= 1000, "]250;1000]",
IF(puissance &lt;= 2500, "]1000;2500]",
IF(puissance &lt;= 10000, "]2500;10000]",
"]10000;12000]")))</f>
        <v>]250;1000]</v>
      </c>
      <c r="Z21" s="19" t="s">
        <v>30</v>
      </c>
    </row>
    <row r="22" spans="1:26" ht="17.25" customHeight="1" x14ac:dyDescent="0.25">
      <c r="C22" s="27" t="s">
        <v>297</v>
      </c>
      <c r="D22" s="29">
        <f>IF(code_contrat="S06",INDEX('Indices INSEE'!$D$4:$L$624,MATCH(DATE(D18,MONTH(date_MES),1),'Indices INSEE'!$C$4:$C$624,0),1),
INDEX('Indices INSEE'!$D$4:$L$624,MATCH(DATE(IF(MONTH(date_MES)&gt;10,D18,D18-1),11,1),'Indices INSEE'!$C$4:$C$624,0),2))</f>
        <v>119</v>
      </c>
      <c r="E22" s="29">
        <f>IF(code_contrat="S06",INDEX('Indices INSEE'!$D$4:$L$624,MATCH(DATE(E18,MONTH(date_MES),1),'Indices INSEE'!$C$4:$C$624,0),1),
INDEX('Indices INSEE'!$D$4:$L$624,MATCH(DATE(IF(MONTH(date_MES)&gt;10,E18,E18-1),11,1),'Indices INSEE'!$C$4:$C$624,0),2))</f>
        <v>119.5</v>
      </c>
      <c r="F22" s="29">
        <f>IF(code_contrat="S06",INDEX('Indices INSEE'!$D$4:$L$624,MATCH(DATE(F18,MONTH(date_MES),1),'Indices INSEE'!$C$4:$C$624,0),1),
INDEX('Indices INSEE'!$D$4:$L$624,MATCH(DATE(IF(MONTH(date_MES)&gt;10,F18,F18-1),11,1),'Indices INSEE'!$C$4:$C$624,0),2))</f>
        <v>117.42268984446478</v>
      </c>
      <c r="G22" s="29">
        <f>IF(code_contrat="S06",INDEX('Indices INSEE'!$D$4:$L$624,MATCH(DATE(G18,MONTH(date_MES),1),'Indices INSEE'!$C$4:$C$624,0),1),
INDEX('Indices INSEE'!$D$4:$L$624,MATCH(DATE(IF(MONTH(date_MES)&gt;10,G18,G18-1),11,1),'Indices INSEE'!$C$4:$C$624,0),2))</f>
        <v>115.67337602927722</v>
      </c>
      <c r="H22" s="29">
        <f>IF(code_contrat="S06",INDEX('Indices INSEE'!$D$4:$L$624,MATCH(DATE(H18,MONTH(date_MES),1),'Indices INSEE'!$C$4:$C$624,0),1),
INDEX('Indices INSEE'!$D$4:$L$624,MATCH(DATE(IF(MONTH(date_MES)&gt;10,H18,H18-1),11,1),'Indices INSEE'!$C$4:$C$624,0),2))</f>
        <v>114.36139066788654</v>
      </c>
      <c r="I22" s="29">
        <f>IF(code_contrat="S06",INDEX('Indices INSEE'!$D$4:$L$624,MATCH(DATE(I18,MONTH(date_MES),1),'Indices INSEE'!$C$4:$C$624,0),1),
INDEX('Indices INSEE'!$D$4:$L$624,MATCH(DATE(IF(MONTH(date_MES)&gt;10,I18,I18-1),11,1),'Indices INSEE'!$C$4:$C$624,0),2))</f>
        <v>116.548032936871</v>
      </c>
      <c r="J22" s="29">
        <f>IF(code_contrat="S06",INDEX('Indices INSEE'!$D$4:$L$624,MATCH(DATE(J18,MONTH(date_MES),1),'Indices INSEE'!$C$4:$C$624,0),1),
INDEX('Indices INSEE'!$D$4:$L$624,MATCH(DATE(IF(MONTH(date_MES)&gt;10,J18,J18-1),11,1),'Indices INSEE'!$C$4:$C$624,0),2))</f>
        <v>122.1357676578225</v>
      </c>
      <c r="K22" s="29">
        <f>IF(code_contrat="S06",INDEX('Indices INSEE'!$D$4:$L$624,MATCH(DATE(K18,MONTH(date_MES),1),'Indices INSEE'!$C$4:$C$624,0),1),
INDEX('Indices INSEE'!$D$4:$L$624,MATCH(DATE(IF(MONTH(date_MES)&gt;10,K18,K18-1),11,1),'Indices INSEE'!$C$4:$C$624,0),2))</f>
        <v>121.43851303751144</v>
      </c>
      <c r="L22" s="29">
        <f>IF(code_contrat="S06",INDEX('Indices INSEE'!$D$4:$L$624,MATCH(DATE(L18,MONTH(date_MES),1),'Indices INSEE'!$C$4:$C$624,0),1),
INDEX('Indices INSEE'!$D$4:$L$624,MATCH(DATE(IF(MONTH(date_MES)&gt;10,L18,L18-1),11,1),'Indices INSEE'!$C$4:$C$624,0),2))</f>
        <v>123.86728329826167</v>
      </c>
      <c r="M22" s="29">
        <f>IF(code_contrat="S06",INDEX('Indices INSEE'!$D$4:$L$624,MATCH(DATE(M18,MONTH(date_MES),1),'Indices INSEE'!$C$4:$C$624,0),1),
INDEX('Indices INSEE'!$D$4:$L$624,MATCH(DATE(IF(MONTH(date_MES)&gt;10,M18,M18-1),11,1),'Indices INSEE'!$C$4:$C$624,0),2))</f>
        <v>126.3446289642269</v>
      </c>
      <c r="N22" s="29">
        <f>IF(code_contrat="S06",INDEX('Indices INSEE'!$D$4:$L$624,MATCH(DATE(N18,MONTH(date_MES),1),'Indices INSEE'!$C$4:$C$624,0),1),
INDEX('Indices INSEE'!$D$4:$L$624,MATCH(DATE(IF(MONTH(date_MES)&gt;10,N18,N18-1),11,1),'Indices INSEE'!$C$4:$C$624,0),2))</f>
        <v>128.87152154351145</v>
      </c>
      <c r="O22" s="29">
        <f>IF(code_contrat="S06",INDEX('Indices INSEE'!$D$4:$L$624,MATCH(DATE(O18,MONTH(date_MES),1),'Indices INSEE'!$C$4:$C$624,0),1),
INDEX('Indices INSEE'!$D$4:$L$624,MATCH(DATE(IF(MONTH(date_MES)&gt;10,O18,O18-1),11,1),'Indices INSEE'!$C$4:$C$624,0),2))</f>
        <v>131.44895197438169</v>
      </c>
      <c r="P22" s="29">
        <f>IF(code_contrat="S06",INDEX('Indices INSEE'!$D$4:$L$624,MATCH(DATE(P18,MONTH(date_MES),1),'Indices INSEE'!$C$4:$C$624,0),1),
INDEX('Indices INSEE'!$D$4:$L$624,MATCH(DATE(IF(MONTH(date_MES)&gt;10,P18,P18-1),11,1),'Indices INSEE'!$C$4:$C$624,0),2))</f>
        <v>134.07793101386932</v>
      </c>
      <c r="Q22" s="29">
        <f>IF(code_contrat="S06",INDEX('Indices INSEE'!$D$4:$L$624,MATCH(DATE(Q18,MONTH(date_MES),1),'Indices INSEE'!$C$4:$C$624,0),1),
INDEX('Indices INSEE'!$D$4:$L$624,MATCH(DATE(IF(MONTH(date_MES)&gt;10,Q18,Q18-1),11,1),'Indices INSEE'!$C$4:$C$624,0),2))</f>
        <v>136.75948963414672</v>
      </c>
      <c r="R22" s="29">
        <f>IF(code_contrat="S06",INDEX('Indices INSEE'!$D$4:$L$624,MATCH(DATE(R18,MONTH(date_MES),1),'Indices INSEE'!$C$4:$C$624,0),1),
INDEX('Indices INSEE'!$D$4:$L$624,MATCH(DATE(IF(MONTH(date_MES)&gt;10,R18,R18-1),11,1),'Indices INSEE'!$C$4:$C$624,0),2))</f>
        <v>139.49467942682966</v>
      </c>
      <c r="S22" s="29">
        <f>IF(code_contrat="S06",INDEX('Indices INSEE'!$D$4:$L$624,MATCH(DATE(S18,MONTH(date_MES),1),'Indices INSEE'!$C$4:$C$624,0),1),
INDEX('Indices INSEE'!$D$4:$L$624,MATCH(DATE(IF(MONTH(date_MES)&gt;10,S18,S18-1),11,1),'Indices INSEE'!$C$4:$C$624,0),2))</f>
        <v>142.28457301536625</v>
      </c>
      <c r="T22" s="29">
        <f>IF(code_contrat="S06",INDEX('Indices INSEE'!$D$4:$L$624,MATCH(DATE(T18,MONTH(date_MES),1),'Indices INSEE'!$C$4:$C$624,0),1),
INDEX('Indices INSEE'!$D$4:$L$624,MATCH(DATE(IF(MONTH(date_MES)&gt;10,T18,T18-1),11,1),'Indices INSEE'!$C$4:$C$624,0),2))</f>
        <v>145.13026447567358</v>
      </c>
      <c r="U22" s="29">
        <f>IF(code_contrat="S06",INDEX('Indices INSEE'!$D$4:$L$624,MATCH(DATE(U18,MONTH(date_MES),1),'Indices INSEE'!$C$4:$C$624,0),1),
INDEX('Indices INSEE'!$D$4:$L$624,MATCH(DATE(IF(MONTH(date_MES)&gt;10,U18,U18-1),11,1),'Indices INSEE'!$C$4:$C$624,0),2))</f>
        <v>148.03286976518706</v>
      </c>
      <c r="V22" s="29">
        <f>IF(code_contrat="S06",INDEX('Indices INSEE'!$D$4:$L$624,MATCH(DATE(V18,MONTH(date_MES),1),'Indices INSEE'!$C$4:$C$624,0),1),
INDEX('Indices INSEE'!$D$4:$L$624,MATCH(DATE(IF(MONTH(date_MES)&gt;10,V18,V18-1),11,1),'Indices INSEE'!$C$4:$C$624,0),2))</f>
        <v>150.9935271604908</v>
      </c>
      <c r="W22" s="29">
        <f>IF(code_contrat="S06",INDEX('Indices INSEE'!$D$4:$L$624,MATCH(DATE(W18,MONTH(date_MES),1),'Indices INSEE'!$C$4:$C$624,0),1),
INDEX('Indices INSEE'!$D$4:$L$624,MATCH(DATE(IF(MONTH(date_MES)&gt;10,W18,W18-1),11,1),'Indices INSEE'!$C$4:$C$624,0),2))</f>
        <v>154.0133977037006</v>
      </c>
      <c r="Y22" s="125" t="str">
        <f>"T"&amp;ROUNDUP(MONTH(C10)/3,0)&amp;" "&amp;YEAR(C10)</f>
        <v>T1 2013</v>
      </c>
      <c r="Z22" s="19" t="s">
        <v>31</v>
      </c>
    </row>
    <row r="23" spans="1:26" ht="17.25" customHeight="1" x14ac:dyDescent="0.25">
      <c r="C23" s="27" t="s">
        <v>32</v>
      </c>
      <c r="D23" s="29">
        <f>IF(D19&lt;=année_k_révision,(1-coefficient_L)+0.5*coefficient_L*D21/$D$21+0.5*coefficient_L*D22/$D$22,"")</f>
        <v>1</v>
      </c>
      <c r="E23" s="29">
        <f>IF(E19&lt;=année_k_révision,(1-coefficient_L)+0.5*coefficient_L*E21/$D$21+0.5*coefficient_L*E22/$D$22,"")</f>
        <v>1.0017764067652379</v>
      </c>
      <c r="F23" s="29">
        <f t="shared" ref="F23:W23" si="2">IF(F19&lt;=année_k_révision,(1-coefficient_L)+0.5*coefficient_L*F21/$D$21+0.5*coefficient_L*F22/$D$22,"")</f>
        <v>1.0015678385034861</v>
      </c>
      <c r="G23" s="29">
        <f t="shared" si="2"/>
        <v>1.0017253133316977</v>
      </c>
      <c r="H23" s="29">
        <f t="shared" si="2"/>
        <v>1.0027023706282634</v>
      </c>
      <c r="I23" s="29">
        <f t="shared" si="2"/>
        <v>1.0058057079248253</v>
      </c>
      <c r="J23" s="29">
        <f t="shared" si="2"/>
        <v>1.0131233448034038</v>
      </c>
      <c r="K23" s="29">
        <f t="shared" si="2"/>
        <v>1.0147471814696671</v>
      </c>
      <c r="L23" s="29">
        <f t="shared" si="2"/>
        <v>1.0190421250990604</v>
      </c>
      <c r="M23" s="29" t="str">
        <f t="shared" si="2"/>
        <v/>
      </c>
      <c r="N23" s="29" t="str">
        <f t="shared" si="2"/>
        <v/>
      </c>
      <c r="O23" s="29" t="str">
        <f t="shared" si="2"/>
        <v/>
      </c>
      <c r="P23" s="29" t="str">
        <f t="shared" si="2"/>
        <v/>
      </c>
      <c r="Q23" s="29" t="str">
        <f t="shared" si="2"/>
        <v/>
      </c>
      <c r="R23" s="29" t="str">
        <f t="shared" si="2"/>
        <v/>
      </c>
      <c r="S23" s="29" t="str">
        <f t="shared" si="2"/>
        <v/>
      </c>
      <c r="T23" s="29" t="str">
        <f t="shared" si="2"/>
        <v/>
      </c>
      <c r="U23" s="29" t="str">
        <f t="shared" si="2"/>
        <v/>
      </c>
      <c r="V23" s="29" t="str">
        <f t="shared" si="2"/>
        <v/>
      </c>
      <c r="W23" s="29" t="str">
        <f t="shared" si="2"/>
        <v/>
      </c>
      <c r="Y23" s="115">
        <f>IF(code_contrat="S06",0.6,0.2)</f>
        <v>0.2</v>
      </c>
      <c r="Z23" s="19" t="s">
        <v>33</v>
      </c>
    </row>
    <row r="24" spans="1:26" ht="17.25" customHeight="1" x14ac:dyDescent="0.25">
      <c r="C24" s="27" t="s">
        <v>34</v>
      </c>
      <c r="D24" s="29" t="str">
        <f t="shared" ref="D24:W24" si="3">IF(D19&lt;année_k_révision,"",
(1-coefficient_L_post_révision)+0.5*coefficient_L_post_révision*D21/$D$21+0.5*coefficient_L_post_révision*D22/$D$22)</f>
        <v/>
      </c>
      <c r="E24" s="29" t="str">
        <f t="shared" si="3"/>
        <v/>
      </c>
      <c r="F24" s="29" t="str">
        <f t="shared" si="3"/>
        <v/>
      </c>
      <c r="G24" s="29" t="str">
        <f t="shared" si="3"/>
        <v/>
      </c>
      <c r="H24" s="29" t="str">
        <f t="shared" si="3"/>
        <v/>
      </c>
      <c r="I24" s="29" t="str">
        <f t="shared" si="3"/>
        <v/>
      </c>
      <c r="J24" s="29" t="str">
        <f t="shared" si="3"/>
        <v/>
      </c>
      <c r="K24" s="29" t="str">
        <f t="shared" si="3"/>
        <v/>
      </c>
      <c r="L24" s="29">
        <f t="shared" si="3"/>
        <v>1</v>
      </c>
      <c r="M24" s="29">
        <f t="shared" si="3"/>
        <v>1</v>
      </c>
      <c r="N24" s="29">
        <f t="shared" si="3"/>
        <v>1</v>
      </c>
      <c r="O24" s="29">
        <f t="shared" si="3"/>
        <v>1</v>
      </c>
      <c r="P24" s="29">
        <f t="shared" si="3"/>
        <v>1</v>
      </c>
      <c r="Q24" s="29">
        <f t="shared" si="3"/>
        <v>1</v>
      </c>
      <c r="R24" s="29">
        <f t="shared" si="3"/>
        <v>1</v>
      </c>
      <c r="S24" s="29">
        <f t="shared" si="3"/>
        <v>1</v>
      </c>
      <c r="T24" s="29">
        <f t="shared" si="3"/>
        <v>1</v>
      </c>
      <c r="U24" s="29">
        <f t="shared" si="3"/>
        <v>1</v>
      </c>
      <c r="V24" s="29">
        <f t="shared" si="3"/>
        <v>1</v>
      </c>
      <c r="W24" s="29">
        <f t="shared" si="3"/>
        <v>1</v>
      </c>
      <c r="Y24" s="133">
        <f>_xlfn.DAYS(DATE(YEAR(date_MES)+1,1,1),date_MES)/_xlfn.DAYS(DATE(YEAR(date_MES)+1,MONTH(date_MES),DAY(date_MES)),date_MES)</f>
        <v>1</v>
      </c>
      <c r="Z24" s="19" t="s">
        <v>35</v>
      </c>
    </row>
    <row r="25" spans="1:26" ht="17.25" customHeight="1" x14ac:dyDescent="0.25">
      <c r="D25" s="151"/>
      <c r="O25" s="30"/>
      <c r="P25" s="30"/>
      <c r="Q25" s="30"/>
      <c r="R25" s="30"/>
      <c r="S25" s="30"/>
      <c r="T25" s="30"/>
      <c r="U25" s="30"/>
      <c r="V25" s="30"/>
      <c r="W25" s="30"/>
      <c r="Y25" s="133">
        <f>1-Y24</f>
        <v>0</v>
      </c>
      <c r="Z25" s="19" t="s">
        <v>36</v>
      </c>
    </row>
    <row r="26" spans="1:26" ht="17.25" customHeight="1" x14ac:dyDescent="0.25">
      <c r="B26" s="32"/>
      <c r="C26" s="33" t="s">
        <v>37</v>
      </c>
      <c r="D26" s="21">
        <f t="shared" ref="D26:W26" si="4">(1+TRI_cible)^(D19)</f>
        <v>1.0884161148977605</v>
      </c>
      <c r="E26" s="21">
        <f t="shared" si="4"/>
        <v>1.184649639169135</v>
      </c>
      <c r="F26" s="21">
        <f t="shared" si="4"/>
        <v>1.2893917577795038</v>
      </c>
      <c r="G26" s="21">
        <f t="shared" si="4"/>
        <v>1.4033947675835619</v>
      </c>
      <c r="H26" s="21">
        <f t="shared" si="4"/>
        <v>1.527477480601146</v>
      </c>
      <c r="I26" s="21">
        <f t="shared" si="4"/>
        <v>1.6625311050297187</v>
      </c>
      <c r="J26" s="21">
        <f t="shared" si="4"/>
        <v>1.8095256462331271</v>
      </c>
      <c r="K26" s="21">
        <f t="shared" si="4"/>
        <v>1.9695168736809197</v>
      </c>
      <c r="L26" s="21">
        <f t="shared" si="4"/>
        <v>2.1436539038773699</v>
      </c>
      <c r="M26" s="21">
        <f t="shared" si="4"/>
        <v>2.3331874537436241</v>
      </c>
      <c r="N26" s="21">
        <f t="shared" si="4"/>
        <v>2.5394788237318338</v>
      </c>
      <c r="O26" s="21">
        <f t="shared" si="4"/>
        <v>2.7640096751913377</v>
      </c>
      <c r="P26" s="21">
        <f t="shared" si="4"/>
        <v>3.0083926722115768</v>
      </c>
      <c r="Q26" s="21">
        <f t="shared" si="4"/>
        <v>3.2743830643754164</v>
      </c>
      <c r="R26" s="21">
        <f t="shared" si="4"/>
        <v>3.5638912936145144</v>
      </c>
      <c r="S26" s="21">
        <f t="shared" si="4"/>
        <v>3.8789967157138636</v>
      </c>
      <c r="T26" s="21">
        <f t="shared" si="4"/>
        <v>4.2219625350184558</v>
      </c>
      <c r="U26" s="21">
        <f t="shared" si="4"/>
        <v>4.5952520596086881</v>
      </c>
      <c r="V26" s="21">
        <f t="shared" si="4"/>
        <v>5.0015463936952207</v>
      </c>
      <c r="W26" s="21">
        <f t="shared" si="4"/>
        <v>5.4437636943066572</v>
      </c>
      <c r="Y26" s="21">
        <f>IF(MC_ZNI?="MC",INDEX(Contrat!E3:G10,MATCH(typologie_détaillée,Contrat!C3:C10,0),MATCH(code_contrat,Contrat!E2:G2,0)),
IF(MC_ZNI?="ZNI",INDEX(Contrat!E13:G20,MATCH(typologie_détaillée,Contrat!C13:C20,0),MATCH(code_contrat,Contrat!E12:G12,0))))</f>
        <v>314</v>
      </c>
      <c r="Z26" s="19" t="s">
        <v>38</v>
      </c>
    </row>
    <row r="27" spans="1:26" ht="17.25" customHeight="1" x14ac:dyDescent="0.25">
      <c r="B27" s="32"/>
      <c r="C27" s="33" t="s">
        <v>301</v>
      </c>
      <c r="D27" s="21">
        <f>1/D26</f>
        <v>0.91876625705228021</v>
      </c>
      <c r="E27" s="21">
        <f t="shared" ref="E27:W27" si="5">1/E26</f>
        <v>0.84413143509785671</v>
      </c>
      <c r="F27" s="21">
        <f t="shared" si="5"/>
        <v>0.77555947908502754</v>
      </c>
      <c r="G27" s="21">
        <f t="shared" si="5"/>
        <v>0.71255787972036699</v>
      </c>
      <c r="H27" s="21">
        <f t="shared" si="5"/>
        <v>0.65467413608379044</v>
      </c>
      <c r="I27" s="21">
        <f t="shared" si="5"/>
        <v>0.60149250559863932</v>
      </c>
      <c r="J27" s="21">
        <f t="shared" si="5"/>
        <v>0.5526310180138595</v>
      </c>
      <c r="K27" s="21">
        <f t="shared" si="5"/>
        <v>0.50773873195158492</v>
      </c>
      <c r="L27" s="21">
        <f t="shared" si="5"/>
        <v>0.46649321431562868</v>
      </c>
      <c r="M27" s="21">
        <f t="shared" si="5"/>
        <v>0.42859822445705736</v>
      </c>
      <c r="N27" s="21">
        <f t="shared" si="5"/>
        <v>0.39378158646366368</v>
      </c>
      <c r="O27" s="21">
        <f t="shared" si="5"/>
        <v>0.36179323429132909</v>
      </c>
      <c r="P27" s="21">
        <f t="shared" si="5"/>
        <v>0.33240341569668308</v>
      </c>
      <c r="Q27" s="21">
        <f t="shared" si="5"/>
        <v>0.30540104207103469</v>
      </c>
      <c r="R27" s="21">
        <f t="shared" si="5"/>
        <v>0.2805921723234705</v>
      </c>
      <c r="S27" s="21">
        <f t="shared" si="5"/>
        <v>0.25779861992380337</v>
      </c>
      <c r="T27" s="21">
        <f t="shared" si="5"/>
        <v>0.23685667310063627</v>
      </c>
      <c r="U27" s="21">
        <f t="shared" si="5"/>
        <v>0.21761591900252708</v>
      </c>
      <c r="V27" s="21">
        <f t="shared" si="5"/>
        <v>0.19993816337694398</v>
      </c>
      <c r="W27" s="21">
        <f t="shared" si="5"/>
        <v>0.1836964380077421</v>
      </c>
      <c r="Y27" s="21">
        <f>IF(AND(OR(code_contrat="S10",code_contrat="S10B"),INDEX(Contrat!I3:I10,MATCH(typologie_détaillée,Contrat!C3:C10,0),1)="oui"),IFERROR(INDEX('Modulation géo'!D2:D101,MATCH(département,'Modulation géo'!B2:B101,0),1),1),1)</f>
        <v>1.1399999999999999</v>
      </c>
      <c r="Z27" s="19" t="s">
        <v>40</v>
      </c>
    </row>
    <row r="28" spans="1:26" ht="17.25" customHeight="1" x14ac:dyDescent="0.25">
      <c r="B28" s="32"/>
      <c r="C28" s="33" t="s">
        <v>303</v>
      </c>
      <c r="D28" s="21">
        <f t="shared" ref="D28:W28" si="6">IF(D19&gt;=année_k_révision,"",1/(1+TRI_cible)^(D19))</f>
        <v>0.91876625705228021</v>
      </c>
      <c r="E28" s="21">
        <f t="shared" si="6"/>
        <v>0.84413143509785671</v>
      </c>
      <c r="F28" s="21">
        <f t="shared" si="6"/>
        <v>0.77555947908502754</v>
      </c>
      <c r="G28" s="21">
        <f t="shared" si="6"/>
        <v>0.71255787972036699</v>
      </c>
      <c r="H28" s="21">
        <f t="shared" si="6"/>
        <v>0.65467413608379044</v>
      </c>
      <c r="I28" s="21">
        <f t="shared" si="6"/>
        <v>0.60149250559863932</v>
      </c>
      <c r="J28" s="21">
        <f t="shared" si="6"/>
        <v>0.5526310180138595</v>
      </c>
      <c r="K28" s="21">
        <f t="shared" si="6"/>
        <v>0.50773873195158492</v>
      </c>
      <c r="L28" s="21" t="str">
        <f t="shared" si="6"/>
        <v/>
      </c>
      <c r="M28" s="21" t="str">
        <f t="shared" si="6"/>
        <v/>
      </c>
      <c r="N28" s="21" t="str">
        <f t="shared" si="6"/>
        <v/>
      </c>
      <c r="O28" s="21" t="str">
        <f t="shared" si="6"/>
        <v/>
      </c>
      <c r="P28" s="21" t="str">
        <f t="shared" si="6"/>
        <v/>
      </c>
      <c r="Q28" s="21" t="str">
        <f t="shared" si="6"/>
        <v/>
      </c>
      <c r="R28" s="21" t="str">
        <f t="shared" si="6"/>
        <v/>
      </c>
      <c r="S28" s="21" t="str">
        <f t="shared" si="6"/>
        <v/>
      </c>
      <c r="T28" s="21" t="str">
        <f t="shared" si="6"/>
        <v/>
      </c>
      <c r="U28" s="21" t="str">
        <f t="shared" si="6"/>
        <v/>
      </c>
      <c r="V28" s="21" t="str">
        <f t="shared" si="6"/>
        <v/>
      </c>
      <c r="W28" s="21" t="str">
        <f t="shared" si="6"/>
        <v/>
      </c>
      <c r="Y28" s="157">
        <f>IF(code_contrat&lt;&gt;"S06",1,
0.5*INDEX('Indices INSEE'!$D$4:$G$624,MATCH(DATE(YEAR(date_DCR),1,1),'Indices INSEE'!$C$4:$C$624,0),3)/INDEX('Indices INSEE'!$D$4:$G$624,MATCH(DATE(2006,7,1),'Indices INSEE'!$C$4:$C$624,0),3)
+0.5*INDEX('Indices INSEE'!$D$4:$G$624,MATCH(DATE(YEAR(date_DCR),1,1),'Indices INSEE'!$C$4:$C$624,0),1)/INDEX('Indices INSEE'!$D$4:$G$624,MATCH(DATE(2006,7,1),'Indices INSEE'!$C$4:$C$624,0),1))</f>
        <v>1</v>
      </c>
      <c r="Z28" s="19" t="s">
        <v>42</v>
      </c>
    </row>
    <row r="29" spans="1:26" ht="17.25" customHeight="1" x14ac:dyDescent="0.25">
      <c r="B29" s="32"/>
      <c r="C29" s="33" t="s">
        <v>304</v>
      </c>
      <c r="D29" s="21" t="str">
        <f t="shared" ref="D29:W29" si="7">IF(D19&lt;&gt;année_k_révision,"",1/(1+TRI_cible)^(D19))</f>
        <v/>
      </c>
      <c r="E29" s="21" t="str">
        <f t="shared" si="7"/>
        <v/>
      </c>
      <c r="F29" s="21" t="str">
        <f t="shared" si="7"/>
        <v/>
      </c>
      <c r="G29" s="21" t="str">
        <f t="shared" si="7"/>
        <v/>
      </c>
      <c r="H29" s="21" t="str">
        <f t="shared" si="7"/>
        <v/>
      </c>
      <c r="I29" s="21" t="str">
        <f t="shared" si="7"/>
        <v/>
      </c>
      <c r="J29" s="21" t="str">
        <f t="shared" si="7"/>
        <v/>
      </c>
      <c r="K29" s="21" t="str">
        <f t="shared" si="7"/>
        <v/>
      </c>
      <c r="L29" s="21">
        <f t="shared" si="7"/>
        <v>0.46649321431562868</v>
      </c>
      <c r="M29" s="21" t="str">
        <f t="shared" si="7"/>
        <v/>
      </c>
      <c r="N29" s="21" t="str">
        <f t="shared" si="7"/>
        <v/>
      </c>
      <c r="O29" s="21" t="str">
        <f t="shared" si="7"/>
        <v/>
      </c>
      <c r="P29" s="21" t="str">
        <f t="shared" si="7"/>
        <v/>
      </c>
      <c r="Q29" s="21" t="str">
        <f t="shared" si="7"/>
        <v/>
      </c>
      <c r="R29" s="21" t="str">
        <f t="shared" si="7"/>
        <v/>
      </c>
      <c r="S29" s="21" t="str">
        <f t="shared" si="7"/>
        <v/>
      </c>
      <c r="T29" s="21" t="str">
        <f t="shared" si="7"/>
        <v/>
      </c>
      <c r="U29" s="21" t="str">
        <f t="shared" si="7"/>
        <v/>
      </c>
      <c r="V29" s="21" t="str">
        <f t="shared" si="7"/>
        <v/>
      </c>
      <c r="W29" s="21" t="str">
        <f t="shared" si="7"/>
        <v/>
      </c>
      <c r="Y29" s="21">
        <f>Tbase*coefficient_R*coefficient_K</f>
        <v>357.96</v>
      </c>
      <c r="Z29" s="19" t="s">
        <v>44</v>
      </c>
    </row>
    <row r="30" spans="1:26" ht="17.25" customHeight="1" x14ac:dyDescent="0.25">
      <c r="B30" s="32"/>
      <c r="C30" s="33" t="s">
        <v>305</v>
      </c>
      <c r="D30" s="21" t="str">
        <f t="shared" ref="D30:W30" si="8">IF(D19&lt;=année_k_révision,"",1/(1+TRI_cible)^(D19))</f>
        <v/>
      </c>
      <c r="E30" s="21" t="str">
        <f t="shared" si="8"/>
        <v/>
      </c>
      <c r="F30" s="21" t="str">
        <f t="shared" si="8"/>
        <v/>
      </c>
      <c r="G30" s="21" t="str">
        <f t="shared" si="8"/>
        <v/>
      </c>
      <c r="H30" s="21" t="str">
        <f t="shared" si="8"/>
        <v/>
      </c>
      <c r="I30" s="21" t="str">
        <f t="shared" si="8"/>
        <v/>
      </c>
      <c r="J30" s="21" t="str">
        <f t="shared" si="8"/>
        <v/>
      </c>
      <c r="K30" s="21" t="str">
        <f t="shared" si="8"/>
        <v/>
      </c>
      <c r="L30" s="21" t="str">
        <f t="shared" si="8"/>
        <v/>
      </c>
      <c r="M30" s="21">
        <f t="shared" si="8"/>
        <v>0.42859822445705736</v>
      </c>
      <c r="N30" s="21">
        <f t="shared" si="8"/>
        <v>0.39378158646366368</v>
      </c>
      <c r="O30" s="21">
        <f t="shared" si="8"/>
        <v>0.36179323429132909</v>
      </c>
      <c r="P30" s="21">
        <f t="shared" si="8"/>
        <v>0.33240341569668308</v>
      </c>
      <c r="Q30" s="21">
        <f t="shared" si="8"/>
        <v>0.30540104207103469</v>
      </c>
      <c r="R30" s="21">
        <f t="shared" si="8"/>
        <v>0.2805921723234705</v>
      </c>
      <c r="S30" s="21">
        <f t="shared" si="8"/>
        <v>0.25779861992380337</v>
      </c>
      <c r="T30" s="21">
        <f t="shared" si="8"/>
        <v>0.23685667310063627</v>
      </c>
      <c r="U30" s="21">
        <f t="shared" si="8"/>
        <v>0.21761591900252708</v>
      </c>
      <c r="V30" s="21">
        <f t="shared" si="8"/>
        <v>0.19993816337694398</v>
      </c>
      <c r="W30" s="21">
        <f t="shared" si="8"/>
        <v>0.1836964380077421</v>
      </c>
      <c r="Y30" s="142">
        <f>IF(MC_ZNI?="MC",INDEX(TRI!B4:B63,MATCH(trimestre_MES,TRI!A4:A63,0),1),
INDEX(TRI!C4:C63,MATCH(trimestre_MES,TRI!A4:A63,0),1))</f>
        <v>8.8416114897760467E-2</v>
      </c>
      <c r="Z30" s="19" t="s">
        <v>48</v>
      </c>
    </row>
    <row r="31" spans="1:26" ht="17.25" customHeight="1" x14ac:dyDescent="0.25">
      <c r="B31" s="32"/>
      <c r="C31" s="33" t="s">
        <v>39</v>
      </c>
      <c r="D31" s="21">
        <f t="shared" ref="D31:W31" si="9">IF(D$19="","",(1-perte_rendement)^(D19-1))</f>
        <v>1</v>
      </c>
      <c r="E31" s="21">
        <f t="shared" si="9"/>
        <v>0.995</v>
      </c>
      <c r="F31" s="21">
        <f t="shared" si="9"/>
        <v>0.99002500000000004</v>
      </c>
      <c r="G31" s="21">
        <f t="shared" si="9"/>
        <v>0.98507487500000002</v>
      </c>
      <c r="H31" s="21">
        <f t="shared" si="9"/>
        <v>0.98014950062500006</v>
      </c>
      <c r="I31" s="21">
        <f t="shared" si="9"/>
        <v>0.97524875312187509</v>
      </c>
      <c r="J31" s="21">
        <f t="shared" si="9"/>
        <v>0.97037250935626573</v>
      </c>
      <c r="K31" s="21">
        <f t="shared" si="9"/>
        <v>0.96552064680948435</v>
      </c>
      <c r="L31" s="21">
        <f t="shared" si="9"/>
        <v>0.96069304357543694</v>
      </c>
      <c r="M31" s="21">
        <f t="shared" si="9"/>
        <v>0.95588957835755972</v>
      </c>
      <c r="N31" s="21">
        <f t="shared" si="9"/>
        <v>0.95111013046577197</v>
      </c>
      <c r="O31" s="21">
        <f t="shared" si="9"/>
        <v>0.94635457981344306</v>
      </c>
      <c r="P31" s="21">
        <f t="shared" si="9"/>
        <v>0.94162280691437594</v>
      </c>
      <c r="Q31" s="21">
        <f t="shared" si="9"/>
        <v>0.93691469287980411</v>
      </c>
      <c r="R31" s="21">
        <f t="shared" si="9"/>
        <v>0.93223011941540512</v>
      </c>
      <c r="S31" s="21">
        <f t="shared" si="9"/>
        <v>0.92756896881832807</v>
      </c>
      <c r="T31" s="21">
        <f t="shared" si="9"/>
        <v>0.92293112397423638</v>
      </c>
      <c r="U31" s="21">
        <f t="shared" si="9"/>
        <v>0.9183164683543652</v>
      </c>
      <c r="V31" s="21">
        <f t="shared" si="9"/>
        <v>0.91372488601259338</v>
      </c>
      <c r="W31" s="21">
        <f t="shared" si="9"/>
        <v>0.90915626158253038</v>
      </c>
      <c r="Y31" s="24">
        <f>INDEX(Productible!B3:C20,MATCH(région,Productible!A3:A20,0),MATCH(Y20,Productible!B2:C2,0))</f>
        <v>970.01648989900889</v>
      </c>
      <c r="Z31" s="19" t="s">
        <v>10</v>
      </c>
    </row>
    <row r="32" spans="1:26" ht="17.25" customHeight="1" x14ac:dyDescent="0.25">
      <c r="C32" s="33" t="s">
        <v>41</v>
      </c>
      <c r="D32" s="21">
        <f>IF(D$19="","",D31/D26)</f>
        <v>0.91876625705228021</v>
      </c>
      <c r="E32" s="21">
        <f t="shared" ref="E32:W32" si="10">IF(E$19="","",E31/E26)</f>
        <v>0.83991077792236735</v>
      </c>
      <c r="F32" s="21">
        <f t="shared" si="10"/>
        <v>0.76782327328115452</v>
      </c>
      <c r="G32" s="21">
        <f t="shared" si="10"/>
        <v>0.70192286429580553</v>
      </c>
      <c r="H32" s="21">
        <f t="shared" si="10"/>
        <v>0.64167852755463051</v>
      </c>
      <c r="I32" s="21">
        <f t="shared" si="10"/>
        <v>0.58660481609722537</v>
      </c>
      <c r="J32" s="21">
        <f t="shared" si="10"/>
        <v>0.53625794769821655</v>
      </c>
      <c r="K32" s="21">
        <f t="shared" si="10"/>
        <v>0.49023222888412166</v>
      </c>
      <c r="L32" s="21">
        <f t="shared" si="10"/>
        <v>0.44815678586816993</v>
      </c>
      <c r="M32" s="21">
        <f t="shared" si="10"/>
        <v>0.4096925760610553</v>
      </c>
      <c r="N32" s="21">
        <f t="shared" si="10"/>
        <v>0.37452965607647382</v>
      </c>
      <c r="O32" s="21">
        <f t="shared" si="10"/>
        <v>0.34238468421711726</v>
      </c>
      <c r="P32" s="21">
        <f t="shared" si="10"/>
        <v>0.31299863731623684</v>
      </c>
      <c r="Q32" s="21">
        <f t="shared" si="10"/>
        <v>0.28613472353715558</v>
      </c>
      <c r="R32" s="21">
        <f t="shared" si="10"/>
        <v>0.26157647431213682</v>
      </c>
      <c r="S32" s="21">
        <f t="shared" si="10"/>
        <v>0.23912600004551041</v>
      </c>
      <c r="T32" s="21">
        <f t="shared" si="10"/>
        <v>0.21860239552556851</v>
      </c>
      <c r="U32" s="21">
        <f t="shared" si="10"/>
        <v>0.19984028219609026</v>
      </c>
      <c r="V32" s="21">
        <f t="shared" si="10"/>
        <v>0.18268847554116541</v>
      </c>
      <c r="W32" s="21">
        <f t="shared" si="10"/>
        <v>0.16700876684514585</v>
      </c>
      <c r="Y32" s="127">
        <v>44470</v>
      </c>
      <c r="Z32" s="11" t="s">
        <v>51</v>
      </c>
    </row>
    <row r="33" spans="2:26" ht="17.25" customHeight="1" x14ac:dyDescent="0.25">
      <c r="C33" s="27" t="s">
        <v>43</v>
      </c>
      <c r="D33" s="29">
        <f>IF(D19&gt;=année_k_révision,"",D$23*D$31)</f>
        <v>1</v>
      </c>
      <c r="E33" s="29">
        <f t="shared" ref="E33:W33" si="11">IF(E19&gt;=année_k_révision,"",E$23*E$31)</f>
        <v>0.99676752473141172</v>
      </c>
      <c r="F33" s="29">
        <f t="shared" si="11"/>
        <v>0.99157719931441379</v>
      </c>
      <c r="G33" s="29">
        <f t="shared" si="11"/>
        <v>0.98677443781455798</v>
      </c>
      <c r="H33" s="29">
        <f t="shared" si="11"/>
        <v>0.98279822784679605</v>
      </c>
      <c r="I33" s="29">
        <f t="shared" si="11"/>
        <v>0.98091076253655074</v>
      </c>
      <c r="J33" s="29">
        <f t="shared" si="11"/>
        <v>0.98310704238429225</v>
      </c>
      <c r="K33" s="29">
        <f t="shared" si="11"/>
        <v>0.97975935500069422</v>
      </c>
      <c r="L33" s="29" t="str">
        <f t="shared" si="11"/>
        <v/>
      </c>
      <c r="M33" s="29" t="str">
        <f t="shared" si="11"/>
        <v/>
      </c>
      <c r="N33" s="29" t="str">
        <f t="shared" si="11"/>
        <v/>
      </c>
      <c r="O33" s="29" t="str">
        <f t="shared" si="11"/>
        <v/>
      </c>
      <c r="P33" s="29" t="str">
        <f t="shared" si="11"/>
        <v/>
      </c>
      <c r="Q33" s="29" t="str">
        <f t="shared" si="11"/>
        <v/>
      </c>
      <c r="R33" s="29" t="str">
        <f t="shared" si="11"/>
        <v/>
      </c>
      <c r="S33" s="29" t="str">
        <f t="shared" si="11"/>
        <v/>
      </c>
      <c r="T33" s="29" t="str">
        <f t="shared" si="11"/>
        <v/>
      </c>
      <c r="U33" s="29" t="str">
        <f t="shared" si="11"/>
        <v/>
      </c>
      <c r="V33" s="29" t="str">
        <f t="shared" si="11"/>
        <v/>
      </c>
      <c r="W33" s="29" t="str">
        <f t="shared" si="11"/>
        <v/>
      </c>
      <c r="Y33" s="129">
        <f>IF(DATE(YEAR(Y32),MONTH(date_MES),DAY(date_MES))&gt;Y32,YEAR(DATE(YEAR(Y32),MONTH(date_MES),DAY(date_MES)))-YEAR(date_MES),YEAR(DATE(YEAR(Y32),MONTH(date_MES),DAY(date_MES)))-YEAR(date_MES)+1)</f>
        <v>9</v>
      </c>
      <c r="Z33" s="19" t="s">
        <v>53</v>
      </c>
    </row>
    <row r="34" spans="2:26" ht="17.25" customHeight="1" x14ac:dyDescent="0.25">
      <c r="C34" s="27" t="s">
        <v>45</v>
      </c>
      <c r="D34" s="29" t="str">
        <f>IF(D19&lt;=année_k_révision,"",D$24*D$31)</f>
        <v/>
      </c>
      <c r="E34" s="29" t="str">
        <f t="shared" ref="E34:W34" si="12">IF(E19&lt;=année_k_révision,"",E$24*E$31)</f>
        <v/>
      </c>
      <c r="F34" s="29" t="str">
        <f t="shared" si="12"/>
        <v/>
      </c>
      <c r="G34" s="29" t="str">
        <f t="shared" si="12"/>
        <v/>
      </c>
      <c r="H34" s="29" t="str">
        <f t="shared" si="12"/>
        <v/>
      </c>
      <c r="I34" s="29" t="str">
        <f t="shared" si="12"/>
        <v/>
      </c>
      <c r="J34" s="29" t="str">
        <f t="shared" si="12"/>
        <v/>
      </c>
      <c r="K34" s="29" t="str">
        <f t="shared" si="12"/>
        <v/>
      </c>
      <c r="L34" s="29" t="str">
        <f t="shared" si="12"/>
        <v/>
      </c>
      <c r="M34" s="29">
        <f t="shared" si="12"/>
        <v>0.95588957835755972</v>
      </c>
      <c r="N34" s="29">
        <f t="shared" si="12"/>
        <v>0.95111013046577197</v>
      </c>
      <c r="O34" s="29">
        <f t="shared" si="12"/>
        <v>0.94635457981344306</v>
      </c>
      <c r="P34" s="29">
        <f t="shared" si="12"/>
        <v>0.94162280691437594</v>
      </c>
      <c r="Q34" s="29">
        <f t="shared" si="12"/>
        <v>0.93691469287980411</v>
      </c>
      <c r="R34" s="29">
        <f t="shared" si="12"/>
        <v>0.93223011941540512</v>
      </c>
      <c r="S34" s="29">
        <f t="shared" si="12"/>
        <v>0.92756896881832807</v>
      </c>
      <c r="T34" s="29">
        <f t="shared" si="12"/>
        <v>0.92293112397423638</v>
      </c>
      <c r="U34" s="29">
        <f t="shared" si="12"/>
        <v>0.9183164683543652</v>
      </c>
      <c r="V34" s="29">
        <f t="shared" si="12"/>
        <v>0.91372488601259338</v>
      </c>
      <c r="W34" s="29">
        <f t="shared" si="12"/>
        <v>0.90915626158253038</v>
      </c>
      <c r="Y34" s="124">
        <f>IF(DATE(YEAR(Y32),MONTH(date_MES),DAY(date_MES))&lt;Y32,_xlfn.DAYS(Y32,DATE(YEAR(Y32),MONTH(date_MES),DAY(date_MES))),365-_xlfn.DAYS(DATE(YEAR(Y32),MONTH(date_MES),DAY(date_MES)),Y32))/365</f>
        <v>0.74794520547945209</v>
      </c>
      <c r="Z34" s="19" t="s">
        <v>55</v>
      </c>
    </row>
    <row r="35" spans="2:26" ht="17.25" customHeight="1" x14ac:dyDescent="0.25">
      <c r="C35" s="27" t="s">
        <v>47</v>
      </c>
      <c r="D35" s="29">
        <f>IF(D19&gt;=année_k_révision,"",D33/D26)</f>
        <v>0.91876625705228021</v>
      </c>
      <c r="E35" s="29">
        <f t="shared" ref="E35:W35" si="13">IF(E19&gt;=année_k_révision,"",E33/E26)</f>
        <v>0.84140280111046495</v>
      </c>
      <c r="F35" s="29">
        <f t="shared" si="13"/>
        <v>0.76902709617287734</v>
      </c>
      <c r="G35" s="29">
        <f t="shared" si="13"/>
        <v>0.70313390117139851</v>
      </c>
      <c r="H35" s="29">
        <f t="shared" si="13"/>
        <v>0.64341258076028141</v>
      </c>
      <c r="I35" s="29">
        <f t="shared" si="13"/>
        <v>0.59001047232678172</v>
      </c>
      <c r="J35" s="29">
        <f t="shared" si="13"/>
        <v>0.543295445649426</v>
      </c>
      <c r="K35" s="29">
        <f t="shared" si="13"/>
        <v>0.49746177252575524</v>
      </c>
      <c r="L35" s="29" t="str">
        <f t="shared" si="13"/>
        <v/>
      </c>
      <c r="M35" s="29" t="str">
        <f t="shared" si="13"/>
        <v/>
      </c>
      <c r="N35" s="29" t="str">
        <f t="shared" si="13"/>
        <v/>
      </c>
      <c r="O35" s="29" t="str">
        <f t="shared" si="13"/>
        <v/>
      </c>
      <c r="P35" s="29" t="str">
        <f t="shared" si="13"/>
        <v/>
      </c>
      <c r="Q35" s="29" t="str">
        <f t="shared" si="13"/>
        <v/>
      </c>
      <c r="R35" s="29" t="str">
        <f t="shared" si="13"/>
        <v/>
      </c>
      <c r="S35" s="29" t="str">
        <f t="shared" si="13"/>
        <v/>
      </c>
      <c r="T35" s="29" t="str">
        <f t="shared" si="13"/>
        <v/>
      </c>
      <c r="U35" s="29" t="str">
        <f t="shared" si="13"/>
        <v/>
      </c>
      <c r="V35" s="29" t="str">
        <f t="shared" si="13"/>
        <v/>
      </c>
      <c r="W35" s="29" t="str">
        <f t="shared" si="13"/>
        <v/>
      </c>
      <c r="Y35" s="124">
        <f>1-Y34</f>
        <v>0.25205479452054791</v>
      </c>
      <c r="Z35" s="19" t="s">
        <v>56</v>
      </c>
    </row>
    <row r="36" spans="2:26" ht="17.25" customHeight="1" x14ac:dyDescent="0.25">
      <c r="C36" s="27" t="s">
        <v>49</v>
      </c>
      <c r="D36" s="29" t="str">
        <f t="shared" ref="D36:W36" si="14">IF(D19&lt;=année_k_révision,"",D34/D26)</f>
        <v/>
      </c>
      <c r="E36" s="29" t="str">
        <f t="shared" si="14"/>
        <v/>
      </c>
      <c r="F36" s="29" t="str">
        <f t="shared" si="14"/>
        <v/>
      </c>
      <c r="G36" s="29" t="str">
        <f t="shared" si="14"/>
        <v/>
      </c>
      <c r="H36" s="29" t="str">
        <f t="shared" si="14"/>
        <v/>
      </c>
      <c r="I36" s="29" t="str">
        <f t="shared" si="14"/>
        <v/>
      </c>
      <c r="J36" s="29" t="str">
        <f t="shared" si="14"/>
        <v/>
      </c>
      <c r="K36" s="29" t="str">
        <f t="shared" si="14"/>
        <v/>
      </c>
      <c r="L36" s="29" t="str">
        <f t="shared" si="14"/>
        <v/>
      </c>
      <c r="M36" s="29">
        <f t="shared" si="14"/>
        <v>0.4096925760610553</v>
      </c>
      <c r="N36" s="29">
        <f t="shared" si="14"/>
        <v>0.37452965607647382</v>
      </c>
      <c r="O36" s="29">
        <f t="shared" si="14"/>
        <v>0.34238468421711726</v>
      </c>
      <c r="P36" s="29">
        <f t="shared" si="14"/>
        <v>0.31299863731623684</v>
      </c>
      <c r="Q36" s="29">
        <f t="shared" si="14"/>
        <v>0.28613472353715558</v>
      </c>
      <c r="R36" s="29">
        <f t="shared" si="14"/>
        <v>0.26157647431213682</v>
      </c>
      <c r="S36" s="29">
        <f t="shared" si="14"/>
        <v>0.23912600004551041</v>
      </c>
      <c r="T36" s="29">
        <f t="shared" si="14"/>
        <v>0.21860239552556851</v>
      </c>
      <c r="U36" s="29">
        <f t="shared" si="14"/>
        <v>0.19984028219609026</v>
      </c>
      <c r="V36" s="29">
        <f t="shared" si="14"/>
        <v>0.18268847554116541</v>
      </c>
      <c r="W36" s="29">
        <f t="shared" si="14"/>
        <v>0.16700876684514585</v>
      </c>
      <c r="Y36" s="150">
        <v>0</v>
      </c>
      <c r="Z36" s="19" t="s">
        <v>21</v>
      </c>
    </row>
    <row r="37" spans="2:26" ht="17.25" customHeight="1" x14ac:dyDescent="0.25">
      <c r="C37" s="27" t="s">
        <v>50</v>
      </c>
      <c r="D37" s="21">
        <f>IF(D$19="","",D$20/D$26)</f>
        <v>57.69198152063273</v>
      </c>
      <c r="E37" s="21">
        <f t="shared" ref="E37:W37" si="15">IF(E$19="","",E$20/E$26)</f>
        <v>53.005445923641048</v>
      </c>
      <c r="F37" s="21">
        <f t="shared" si="15"/>
        <v>48.699615154650729</v>
      </c>
      <c r="G37" s="21">
        <f t="shared" si="15"/>
        <v>44.743563135524951</v>
      </c>
      <c r="H37" s="21">
        <f t="shared" si="15"/>
        <v>41.108876029208645</v>
      </c>
      <c r="I37" s="21">
        <f t="shared" si="15"/>
        <v>37.769448160982229</v>
      </c>
      <c r="J37" s="21">
        <f t="shared" si="15"/>
        <v>34.701294517795773</v>
      </c>
      <c r="K37" s="21">
        <f t="shared" si="15"/>
        <v>31.88237847898403</v>
      </c>
      <c r="L37" s="21">
        <f t="shared" si="15"/>
        <v>29.292453541060329</v>
      </c>
      <c r="M37" s="21">
        <f t="shared" si="15"/>
        <v>25.757750563988974</v>
      </c>
      <c r="N37" s="21">
        <f t="shared" si="15"/>
        <v>23.665352075762407</v>
      </c>
      <c r="O37" s="21">
        <f t="shared" si="15"/>
        <v>21.742926948472636</v>
      </c>
      <c r="P37" s="21">
        <f t="shared" si="15"/>
        <v>19.976667609809358</v>
      </c>
      <c r="Q37" s="21">
        <f t="shared" si="15"/>
        <v>18.353888128242065</v>
      </c>
      <c r="R37" s="21">
        <f t="shared" si="15"/>
        <v>16.862933097941244</v>
      </c>
      <c r="S37" s="21">
        <f t="shared" si="15"/>
        <v>15.493093925318489</v>
      </c>
      <c r="T37" s="21">
        <f t="shared" si="15"/>
        <v>14.23453191592429</v>
      </c>
      <c r="U37" s="21">
        <f t="shared" si="15"/>
        <v>13.078207609284982</v>
      </c>
      <c r="V37" s="21">
        <f t="shared" si="15"/>
        <v>12.015815854135413</v>
      </c>
      <c r="W37" s="21">
        <f t="shared" si="15"/>
        <v>11.03972615773344</v>
      </c>
      <c r="Y37" s="124">
        <v>5.0000000000000001E-3</v>
      </c>
      <c r="Z37" s="19" t="s">
        <v>20</v>
      </c>
    </row>
    <row r="38" spans="2:26" ht="17.25" customHeight="1" x14ac:dyDescent="0.25">
      <c r="C38" s="27" t="s">
        <v>52</v>
      </c>
      <c r="D38" s="21" t="str">
        <f>IF(D19&lt;&gt;année_k_révision,"",(D$23*D$31)/D26)</f>
        <v/>
      </c>
      <c r="E38" s="21" t="str">
        <f t="shared" ref="E38:W38" si="16">IF(E19&lt;&gt;année_k_révision,"",(E$23*E$31)/E26)</f>
        <v/>
      </c>
      <c r="F38" s="21" t="str">
        <f t="shared" si="16"/>
        <v/>
      </c>
      <c r="G38" s="21" t="str">
        <f t="shared" si="16"/>
        <v/>
      </c>
      <c r="H38" s="21" t="str">
        <f t="shared" si="16"/>
        <v/>
      </c>
      <c r="I38" s="21" t="str">
        <f t="shared" si="16"/>
        <v/>
      </c>
      <c r="J38" s="21" t="str">
        <f t="shared" si="16"/>
        <v/>
      </c>
      <c r="K38" s="21" t="str">
        <f t="shared" si="16"/>
        <v/>
      </c>
      <c r="L38" s="21">
        <f t="shared" si="16"/>
        <v>0.45669064344866445</v>
      </c>
      <c r="M38" s="21" t="str">
        <f t="shared" si="16"/>
        <v/>
      </c>
      <c r="N38" s="21" t="str">
        <f t="shared" si="16"/>
        <v/>
      </c>
      <c r="O38" s="21" t="str">
        <f t="shared" si="16"/>
        <v/>
      </c>
      <c r="P38" s="21" t="str">
        <f t="shared" si="16"/>
        <v/>
      </c>
      <c r="Q38" s="21" t="str">
        <f t="shared" si="16"/>
        <v/>
      </c>
      <c r="R38" s="21" t="str">
        <f t="shared" si="16"/>
        <v/>
      </c>
      <c r="S38" s="21" t="str">
        <f t="shared" si="16"/>
        <v/>
      </c>
      <c r="T38" s="21" t="str">
        <f t="shared" si="16"/>
        <v/>
      </c>
      <c r="U38" s="21" t="str">
        <f t="shared" si="16"/>
        <v/>
      </c>
      <c r="V38" s="21" t="str">
        <f t="shared" si="16"/>
        <v/>
      </c>
      <c r="W38" s="21" t="str">
        <f t="shared" si="16"/>
        <v/>
      </c>
      <c r="Y38" s="124">
        <v>0.02</v>
      </c>
      <c r="Z38" s="19" t="s">
        <v>22</v>
      </c>
    </row>
    <row r="39" spans="2:26" ht="17.25" customHeight="1" x14ac:dyDescent="0.25">
      <c r="C39" s="27" t="s">
        <v>54</v>
      </c>
      <c r="D39" s="21" t="str">
        <f>IF(D19&lt;&gt;année_k_révision,"",(D$24*D$31)/D26)</f>
        <v/>
      </c>
      <c r="E39" s="21" t="str">
        <f t="shared" ref="E39:W39" si="17">IF(E19&lt;&gt;année_k_révision,"",(E$24*E$31)/E26)</f>
        <v/>
      </c>
      <c r="F39" s="21" t="str">
        <f t="shared" si="17"/>
        <v/>
      </c>
      <c r="G39" s="21" t="str">
        <f t="shared" si="17"/>
        <v/>
      </c>
      <c r="H39" s="21" t="str">
        <f t="shared" si="17"/>
        <v/>
      </c>
      <c r="I39" s="21" t="str">
        <f t="shared" si="17"/>
        <v/>
      </c>
      <c r="J39" s="21" t="str">
        <f t="shared" si="17"/>
        <v/>
      </c>
      <c r="K39" s="21" t="str">
        <f t="shared" si="17"/>
        <v/>
      </c>
      <c r="L39" s="21">
        <f t="shared" si="17"/>
        <v>0.44815678586816993</v>
      </c>
      <c r="M39" s="21" t="str">
        <f t="shared" si="17"/>
        <v/>
      </c>
      <c r="N39" s="21" t="str">
        <f t="shared" si="17"/>
        <v/>
      </c>
      <c r="O39" s="21" t="str">
        <f t="shared" si="17"/>
        <v/>
      </c>
      <c r="P39" s="21" t="str">
        <f t="shared" si="17"/>
        <v/>
      </c>
      <c r="Q39" s="21" t="str">
        <f t="shared" si="17"/>
        <v/>
      </c>
      <c r="R39" s="21" t="str">
        <f t="shared" si="17"/>
        <v/>
      </c>
      <c r="S39" s="21" t="str">
        <f t="shared" si="17"/>
        <v/>
      </c>
      <c r="T39" s="21" t="str">
        <f t="shared" si="17"/>
        <v/>
      </c>
      <c r="U39" s="21" t="str">
        <f t="shared" si="17"/>
        <v/>
      </c>
      <c r="V39" s="21" t="str">
        <f t="shared" si="17"/>
        <v/>
      </c>
      <c r="W39" s="21" t="str">
        <f t="shared" si="17"/>
        <v/>
      </c>
    </row>
    <row r="40" spans="2:26" ht="17.25" customHeight="1" x14ac:dyDescent="0.25">
      <c r="C40" s="27" t="s">
        <v>32</v>
      </c>
      <c r="D40" s="29">
        <f t="shared" ref="D40:W40" si="18">(1-coefficient_L)+0.5*coefficient_L*D21/$D$21+0.5*coefficient_L*D22/$D$22</f>
        <v>1</v>
      </c>
      <c r="E40" s="29">
        <f t="shared" si="18"/>
        <v>1.0017764067652379</v>
      </c>
      <c r="F40" s="29">
        <f t="shared" si="18"/>
        <v>1.0015678385034861</v>
      </c>
      <c r="G40" s="29">
        <f t="shared" si="18"/>
        <v>1.0017253133316977</v>
      </c>
      <c r="H40" s="29">
        <f t="shared" si="18"/>
        <v>1.0027023706282634</v>
      </c>
      <c r="I40" s="29">
        <f t="shared" si="18"/>
        <v>1.0058057079248253</v>
      </c>
      <c r="J40" s="29">
        <f t="shared" si="18"/>
        <v>1.0131233448034038</v>
      </c>
      <c r="K40" s="29">
        <f t="shared" si="18"/>
        <v>1.0147471814696671</v>
      </c>
      <c r="L40" s="29">
        <f t="shared" si="18"/>
        <v>1.0190421250990604</v>
      </c>
      <c r="M40" s="29">
        <f t="shared" si="18"/>
        <v>1.0234229676010418</v>
      </c>
      <c r="N40" s="29">
        <f t="shared" si="18"/>
        <v>1.0278914269530626</v>
      </c>
      <c r="O40" s="29">
        <f t="shared" si="18"/>
        <v>1.0324492554921239</v>
      </c>
      <c r="P40" s="29">
        <f t="shared" si="18"/>
        <v>1.0370982406019662</v>
      </c>
      <c r="Q40" s="29">
        <f t="shared" si="18"/>
        <v>1.0418402054140057</v>
      </c>
      <c r="R40" s="29">
        <f t="shared" si="18"/>
        <v>1.0466770095222857</v>
      </c>
      <c r="S40" s="29">
        <f t="shared" si="18"/>
        <v>1.0516105497127315</v>
      </c>
      <c r="T40" s="29">
        <f t="shared" si="18"/>
        <v>1.0566427607069862</v>
      </c>
      <c r="U40" s="29">
        <f t="shared" si="18"/>
        <v>1.0617756159211258</v>
      </c>
      <c r="V40" s="29">
        <f t="shared" si="18"/>
        <v>1.0670111282395485</v>
      </c>
      <c r="W40" s="29">
        <f t="shared" si="18"/>
        <v>1.0723513508043394</v>
      </c>
    </row>
    <row r="41" spans="2:26" ht="17.25" customHeight="1" x14ac:dyDescent="0.25">
      <c r="L41" s="134"/>
      <c r="N41" s="39"/>
      <c r="O41" s="39"/>
      <c r="P41" s="39"/>
      <c r="Q41" s="39"/>
      <c r="R41" s="39"/>
      <c r="S41" s="39"/>
      <c r="T41" s="39"/>
      <c r="U41" s="39"/>
      <c r="V41" s="39"/>
      <c r="W41" s="39"/>
    </row>
    <row r="42" spans="2:26" x14ac:dyDescent="0.25">
      <c r="C42" s="55" t="s">
        <v>57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</row>
    <row r="43" spans="2:26" x14ac:dyDescent="0.25">
      <c r="B43" s="27" t="s">
        <v>58</v>
      </c>
      <c r="C43" s="28">
        <f>D$18-1</f>
        <v>2012</v>
      </c>
      <c r="D43" s="31">
        <f>D$18</f>
        <v>2013</v>
      </c>
      <c r="E43" s="31">
        <f t="shared" ref="E43:W43" si="19">E$18</f>
        <v>2014</v>
      </c>
      <c r="F43" s="31">
        <f t="shared" si="19"/>
        <v>2015</v>
      </c>
      <c r="G43" s="31">
        <f t="shared" si="19"/>
        <v>2016</v>
      </c>
      <c r="H43" s="31">
        <f t="shared" si="19"/>
        <v>2017</v>
      </c>
      <c r="I43" s="31">
        <f t="shared" si="19"/>
        <v>2018</v>
      </c>
      <c r="J43" s="31">
        <f t="shared" si="19"/>
        <v>2019</v>
      </c>
      <c r="K43" s="31">
        <f t="shared" si="19"/>
        <v>2020</v>
      </c>
      <c r="L43" s="31">
        <f t="shared" si="19"/>
        <v>2021</v>
      </c>
      <c r="M43" s="31">
        <f t="shared" si="19"/>
        <v>2022</v>
      </c>
      <c r="N43" s="31">
        <f t="shared" si="19"/>
        <v>2023</v>
      </c>
      <c r="O43" s="31">
        <f t="shared" si="19"/>
        <v>2024</v>
      </c>
      <c r="P43" s="31">
        <f t="shared" si="19"/>
        <v>2025</v>
      </c>
      <c r="Q43" s="31">
        <f t="shared" si="19"/>
        <v>2026</v>
      </c>
      <c r="R43" s="31">
        <f t="shared" si="19"/>
        <v>2027</v>
      </c>
      <c r="S43" s="31">
        <f t="shared" si="19"/>
        <v>2028</v>
      </c>
      <c r="T43" s="31">
        <f t="shared" si="19"/>
        <v>2029</v>
      </c>
      <c r="U43" s="31">
        <f t="shared" si="19"/>
        <v>2030</v>
      </c>
      <c r="V43" s="31">
        <f t="shared" si="19"/>
        <v>2031</v>
      </c>
      <c r="W43" s="31">
        <f t="shared" si="19"/>
        <v>2032</v>
      </c>
    </row>
    <row r="44" spans="2:26" x14ac:dyDescent="0.25">
      <c r="B44" s="27"/>
      <c r="C44" s="38"/>
      <c r="D44" s="38">
        <f>D$19</f>
        <v>1</v>
      </c>
      <c r="E44" s="38">
        <f t="shared" ref="E44:W44" si="20">E$19</f>
        <v>2</v>
      </c>
      <c r="F44" s="38">
        <f t="shared" si="20"/>
        <v>3</v>
      </c>
      <c r="G44" s="38">
        <f t="shared" si="20"/>
        <v>4</v>
      </c>
      <c r="H44" s="38">
        <f t="shared" si="20"/>
        <v>5</v>
      </c>
      <c r="I44" s="38">
        <f t="shared" si="20"/>
        <v>6</v>
      </c>
      <c r="J44" s="38">
        <f t="shared" si="20"/>
        <v>7</v>
      </c>
      <c r="K44" s="38">
        <f t="shared" si="20"/>
        <v>8</v>
      </c>
      <c r="L44" s="38">
        <f t="shared" si="20"/>
        <v>9</v>
      </c>
      <c r="M44" s="38">
        <f t="shared" si="20"/>
        <v>10</v>
      </c>
      <c r="N44" s="38">
        <f t="shared" si="20"/>
        <v>11</v>
      </c>
      <c r="O44" s="38">
        <f t="shared" si="20"/>
        <v>12</v>
      </c>
      <c r="P44" s="38">
        <f t="shared" si="20"/>
        <v>13</v>
      </c>
      <c r="Q44" s="38">
        <f t="shared" si="20"/>
        <v>14</v>
      </c>
      <c r="R44" s="38">
        <f t="shared" si="20"/>
        <v>15</v>
      </c>
      <c r="S44" s="38">
        <f t="shared" si="20"/>
        <v>16</v>
      </c>
      <c r="T44" s="38">
        <f t="shared" si="20"/>
        <v>17</v>
      </c>
      <c r="U44" s="38">
        <f t="shared" si="20"/>
        <v>18</v>
      </c>
      <c r="V44" s="38">
        <f t="shared" si="20"/>
        <v>19</v>
      </c>
      <c r="W44" s="38">
        <f t="shared" si="20"/>
        <v>20</v>
      </c>
    </row>
    <row r="45" spans="2:26" x14ac:dyDescent="0.25">
      <c r="B45" s="27" t="s">
        <v>59</v>
      </c>
      <c r="C45" s="35">
        <f>-CAPEX*10^6</f>
        <v>-2463819.0552441962</v>
      </c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</row>
    <row r="46" spans="2:26" x14ac:dyDescent="0.25">
      <c r="B46" s="27" t="s">
        <v>60</v>
      </c>
      <c r="C46" s="35"/>
      <c r="D46" s="35">
        <f>IF(D44="","",-D$20*10^3)</f>
        <v>-62792.882387440462</v>
      </c>
      <c r="E46" s="35">
        <f t="shared" ref="E46:W46" si="21">IF(E44="","",-E$20*10^3)</f>
        <v>-62792.882387440462</v>
      </c>
      <c r="F46" s="35">
        <f t="shared" si="21"/>
        <v>-62792.882387440462</v>
      </c>
      <c r="G46" s="35">
        <f t="shared" si="21"/>
        <v>-62792.882387440462</v>
      </c>
      <c r="H46" s="35">
        <f t="shared" si="21"/>
        <v>-62792.882387440462</v>
      </c>
      <c r="I46" s="35">
        <f t="shared" si="21"/>
        <v>-62792.882387440462</v>
      </c>
      <c r="J46" s="35">
        <f t="shared" si="21"/>
        <v>-62792.882387440462</v>
      </c>
      <c r="K46" s="35">
        <f t="shared" si="21"/>
        <v>-62792.882387440462</v>
      </c>
      <c r="L46" s="35">
        <f t="shared" si="21"/>
        <v>-62792.882387440462</v>
      </c>
      <c r="M46" s="35">
        <f t="shared" si="21"/>
        <v>-60097.660452556833</v>
      </c>
      <c r="N46" s="35">
        <f t="shared" si="21"/>
        <v>-60097.660452556833</v>
      </c>
      <c r="O46" s="35">
        <f t="shared" si="21"/>
        <v>-60097.660452556833</v>
      </c>
      <c r="P46" s="35">
        <f t="shared" si="21"/>
        <v>-60097.660452556833</v>
      </c>
      <c r="Q46" s="35">
        <f t="shared" si="21"/>
        <v>-60097.660452556833</v>
      </c>
      <c r="R46" s="35">
        <f t="shared" si="21"/>
        <v>-60097.660452556833</v>
      </c>
      <c r="S46" s="35">
        <f t="shared" si="21"/>
        <v>-60097.660452556833</v>
      </c>
      <c r="T46" s="35">
        <f t="shared" si="21"/>
        <v>-60097.660452556833</v>
      </c>
      <c r="U46" s="35">
        <f t="shared" si="21"/>
        <v>-60097.660452556833</v>
      </c>
      <c r="V46" s="35">
        <f t="shared" si="21"/>
        <v>-60097.660452556833</v>
      </c>
      <c r="W46" s="35">
        <f t="shared" si="21"/>
        <v>-60097.660452556833</v>
      </c>
    </row>
    <row r="47" spans="2:26" x14ac:dyDescent="0.25">
      <c r="B47" s="27" t="s">
        <v>61</v>
      </c>
      <c r="C47" s="35"/>
      <c r="D47" s="35">
        <f t="shared" ref="D47:W47" si="22">IF(D44&gt;année_k_révision,"",
IF(D44=année_k_révision,Tref*D$40*disponibilité*D31-D48,
IF(D44=année_k_révision,pourcentage_annéek_tref*Tref*D$40*disponibilité*D$31,Tref*D$40*disponibilité*D31)))</f>
        <v>347227.10272424918</v>
      </c>
      <c r="E47" s="35">
        <f t="shared" si="22"/>
        <v>346104.69970210956</v>
      </c>
      <c r="F47" s="35">
        <f t="shared" si="22"/>
        <v>344302.47804536927</v>
      </c>
      <c r="G47" s="35">
        <f t="shared" si="22"/>
        <v>342634.82908469875</v>
      </c>
      <c r="H47" s="35">
        <f t="shared" si="22"/>
        <v>341254.18121776957</v>
      </c>
      <c r="I47" s="35">
        <f t="shared" si="22"/>
        <v>340598.80210660049</v>
      </c>
      <c r="J47" s="35">
        <f t="shared" si="22"/>
        <v>341361.40999490349</v>
      </c>
      <c r="K47" s="35">
        <f t="shared" si="22"/>
        <v>340199.00220387016</v>
      </c>
      <c r="L47" s="35">
        <f t="shared" si="22"/>
        <v>254249.54379930405</v>
      </c>
      <c r="M47" s="35" t="str">
        <f t="shared" si="22"/>
        <v/>
      </c>
      <c r="N47" s="35" t="str">
        <f t="shared" si="22"/>
        <v/>
      </c>
      <c r="O47" s="35" t="str">
        <f t="shared" si="22"/>
        <v/>
      </c>
      <c r="P47" s="35" t="str">
        <f t="shared" si="22"/>
        <v/>
      </c>
      <c r="Q47" s="35" t="str">
        <f t="shared" si="22"/>
        <v/>
      </c>
      <c r="R47" s="35" t="str">
        <f t="shared" si="22"/>
        <v/>
      </c>
      <c r="S47" s="35" t="str">
        <f t="shared" si="22"/>
        <v/>
      </c>
      <c r="T47" s="35" t="str">
        <f t="shared" si="22"/>
        <v/>
      </c>
      <c r="U47" s="35" t="str">
        <f t="shared" si="22"/>
        <v/>
      </c>
      <c r="V47" s="35" t="str">
        <f t="shared" si="22"/>
        <v/>
      </c>
      <c r="W47" s="35" t="str">
        <f t="shared" si="22"/>
        <v/>
      </c>
    </row>
    <row r="48" spans="2:26" x14ac:dyDescent="0.25">
      <c r="B48" s="27" t="s">
        <v>62</v>
      </c>
      <c r="C48" s="35"/>
      <c r="D48" s="35" t="str">
        <f t="shared" ref="D48:W48" si="23">IF(D44&lt;année_k_révision,"",
IF(D57=année_k_révision,pourcentage_annéek_trev*Tref*D$40*disponibilité*D$31,Tref*D$40*disponibilité*D$31))</f>
        <v/>
      </c>
      <c r="E48" s="35" t="str">
        <f t="shared" si="23"/>
        <v/>
      </c>
      <c r="F48" s="35" t="str">
        <f t="shared" si="23"/>
        <v/>
      </c>
      <c r="G48" s="35" t="str">
        <f t="shared" si="23"/>
        <v/>
      </c>
      <c r="H48" s="35" t="str">
        <f t="shared" si="23"/>
        <v/>
      </c>
      <c r="I48" s="35" t="str">
        <f t="shared" si="23"/>
        <v/>
      </c>
      <c r="J48" s="35" t="str">
        <f t="shared" si="23"/>
        <v/>
      </c>
      <c r="K48" s="35" t="str">
        <f t="shared" si="23"/>
        <v/>
      </c>
      <c r="L48" s="35">
        <f t="shared" si="23"/>
        <v>85681.164943355179</v>
      </c>
      <c r="M48" s="35">
        <f t="shared" si="23"/>
        <v>339685.10400184646</v>
      </c>
      <c r="N48" s="35">
        <f t="shared" si="23"/>
        <v>339462.39261190098</v>
      </c>
      <c r="O48" s="35">
        <f t="shared" si="23"/>
        <v>339262.78291944315</v>
      </c>
      <c r="P48" s="35">
        <f t="shared" si="23"/>
        <v>339086.48703927966</v>
      </c>
      <c r="Q48" s="35">
        <f t="shared" si="23"/>
        <v>338933.72090722999</v>
      </c>
      <c r="R48" s="35">
        <f t="shared" si="23"/>
        <v>338804.7043337574</v>
      </c>
      <c r="S48" s="35">
        <f t="shared" si="23"/>
        <v>338699.66105841508</v>
      </c>
      <c r="T48" s="35">
        <f t="shared" si="23"/>
        <v>338618.81880511972</v>
      </c>
      <c r="U48" s="35">
        <f t="shared" si="23"/>
        <v>338562.4093382656</v>
      </c>
      <c r="V48" s="35">
        <f t="shared" si="23"/>
        <v>338530.66851969063</v>
      </c>
      <c r="W48" s="35">
        <f t="shared" si="23"/>
        <v>338523.8363665074</v>
      </c>
    </row>
    <row r="49" spans="2:23" x14ac:dyDescent="0.25">
      <c r="B49" s="27" t="s">
        <v>63</v>
      </c>
      <c r="C49" s="35">
        <f>SUM(C45:C48)</f>
        <v>-2463819.0552441962</v>
      </c>
      <c r="D49" s="35">
        <f>IF(D44="","",SUM(D45:D48))</f>
        <v>284434.22033680871</v>
      </c>
      <c r="E49" s="35">
        <f t="shared" ref="E49:W49" si="24">IF(E44="","",SUM(E45:E48))</f>
        <v>283311.81731466908</v>
      </c>
      <c r="F49" s="35">
        <f t="shared" si="24"/>
        <v>281509.59565792879</v>
      </c>
      <c r="G49" s="35">
        <f t="shared" si="24"/>
        <v>279841.94669725827</v>
      </c>
      <c r="H49" s="35">
        <f t="shared" si="24"/>
        <v>278461.29883032909</v>
      </c>
      <c r="I49" s="35">
        <f t="shared" si="24"/>
        <v>277805.91971916001</v>
      </c>
      <c r="J49" s="35">
        <f t="shared" si="24"/>
        <v>278568.52760746301</v>
      </c>
      <c r="K49" s="35">
        <f t="shared" si="24"/>
        <v>277406.11981642968</v>
      </c>
      <c r="L49" s="35">
        <f t="shared" si="24"/>
        <v>277137.82635521877</v>
      </c>
      <c r="M49" s="35">
        <f t="shared" si="24"/>
        <v>279587.4435492896</v>
      </c>
      <c r="N49" s="35">
        <f t="shared" si="24"/>
        <v>279364.73215934413</v>
      </c>
      <c r="O49" s="35">
        <f t="shared" si="24"/>
        <v>279165.1224668863</v>
      </c>
      <c r="P49" s="35">
        <f t="shared" si="24"/>
        <v>278988.8265867228</v>
      </c>
      <c r="Q49" s="35">
        <f t="shared" si="24"/>
        <v>278836.06045467313</v>
      </c>
      <c r="R49" s="35">
        <f t="shared" si="24"/>
        <v>278707.04388120055</v>
      </c>
      <c r="S49" s="35">
        <f t="shared" si="24"/>
        <v>278602.00060585822</v>
      </c>
      <c r="T49" s="35">
        <f t="shared" si="24"/>
        <v>278521.15835256287</v>
      </c>
      <c r="U49" s="35">
        <f t="shared" si="24"/>
        <v>278464.74888570874</v>
      </c>
      <c r="V49" s="35">
        <f t="shared" si="24"/>
        <v>278433.00806713378</v>
      </c>
      <c r="W49" s="35">
        <f t="shared" si="24"/>
        <v>278426.17591395054</v>
      </c>
    </row>
    <row r="50" spans="2:23" x14ac:dyDescent="0.25"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</row>
    <row r="51" spans="2:23" x14ac:dyDescent="0.25">
      <c r="B51" s="36" t="s">
        <v>64</v>
      </c>
      <c r="C51" s="143">
        <f>IRR(C49:W49)</f>
        <v>9.5165963341008242E-2</v>
      </c>
      <c r="E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</row>
    <row r="52" spans="2:23" x14ac:dyDescent="0.25">
      <c r="B52" s="37" t="s">
        <v>65</v>
      </c>
      <c r="C52" s="143">
        <f>C51-TRI_cible</f>
        <v>6.7498484432477746E-3</v>
      </c>
    </row>
    <row r="53" spans="2:23" x14ac:dyDescent="0.25">
      <c r="B53" s="37" t="s">
        <v>66</v>
      </c>
      <c r="C53" s="140">
        <f>Tbase*coefficient_R*coefficient_K*INDEX(D40:W40,1,MATCH(YEAR(date_révision),D43:W43,0))</f>
        <v>364.77631910045966</v>
      </c>
    </row>
    <row r="55" spans="2:23" x14ac:dyDescent="0.25">
      <c r="C55" s="55" t="s">
        <v>67</v>
      </c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</row>
    <row r="56" spans="2:23" x14ac:dyDescent="0.25">
      <c r="C56" s="28">
        <f>D$18-1</f>
        <v>2012</v>
      </c>
      <c r="D56" s="31">
        <f>D$18</f>
        <v>2013</v>
      </c>
      <c r="E56" s="31">
        <f t="shared" ref="E56:W56" si="25">E$18</f>
        <v>2014</v>
      </c>
      <c r="F56" s="31">
        <f t="shared" si="25"/>
        <v>2015</v>
      </c>
      <c r="G56" s="31">
        <f t="shared" si="25"/>
        <v>2016</v>
      </c>
      <c r="H56" s="31">
        <f t="shared" si="25"/>
        <v>2017</v>
      </c>
      <c r="I56" s="31">
        <f t="shared" si="25"/>
        <v>2018</v>
      </c>
      <c r="J56" s="31">
        <f t="shared" si="25"/>
        <v>2019</v>
      </c>
      <c r="K56" s="31">
        <f t="shared" si="25"/>
        <v>2020</v>
      </c>
      <c r="L56" s="31">
        <f t="shared" si="25"/>
        <v>2021</v>
      </c>
      <c r="M56" s="31">
        <f t="shared" si="25"/>
        <v>2022</v>
      </c>
      <c r="N56" s="31">
        <f t="shared" si="25"/>
        <v>2023</v>
      </c>
      <c r="O56" s="31">
        <f t="shared" si="25"/>
        <v>2024</v>
      </c>
      <c r="P56" s="31">
        <f t="shared" si="25"/>
        <v>2025</v>
      </c>
      <c r="Q56" s="31">
        <f t="shared" si="25"/>
        <v>2026</v>
      </c>
      <c r="R56" s="31">
        <f t="shared" si="25"/>
        <v>2027</v>
      </c>
      <c r="S56" s="31">
        <f t="shared" si="25"/>
        <v>2028</v>
      </c>
      <c r="T56" s="31">
        <f t="shared" si="25"/>
        <v>2029</v>
      </c>
      <c r="U56" s="31">
        <f t="shared" si="25"/>
        <v>2030</v>
      </c>
      <c r="V56" s="31">
        <f t="shared" si="25"/>
        <v>2031</v>
      </c>
      <c r="W56" s="31">
        <f t="shared" si="25"/>
        <v>2032</v>
      </c>
    </row>
    <row r="57" spans="2:23" x14ac:dyDescent="0.25">
      <c r="C57" s="38"/>
      <c r="D57" s="38">
        <v>1</v>
      </c>
      <c r="E57" s="38">
        <v>2</v>
      </c>
      <c r="F57" s="38">
        <v>3</v>
      </c>
      <c r="G57" s="38">
        <v>4</v>
      </c>
      <c r="H57" s="38">
        <v>5</v>
      </c>
      <c r="I57" s="38">
        <v>6</v>
      </c>
      <c r="J57" s="38">
        <v>7</v>
      </c>
      <c r="K57" s="38">
        <v>8</v>
      </c>
      <c r="L57" s="38">
        <v>9</v>
      </c>
      <c r="M57" s="38">
        <v>10</v>
      </c>
      <c r="N57" s="38">
        <v>11</v>
      </c>
      <c r="O57" s="38">
        <v>12</v>
      </c>
      <c r="P57" s="38">
        <v>13</v>
      </c>
      <c r="Q57" s="38">
        <v>14</v>
      </c>
      <c r="R57" s="38">
        <v>15</v>
      </c>
      <c r="S57" s="38">
        <v>16</v>
      </c>
      <c r="T57" s="38">
        <v>17</v>
      </c>
      <c r="U57" s="38">
        <v>18</v>
      </c>
      <c r="V57" s="38">
        <v>19</v>
      </c>
      <c r="W57" s="38">
        <v>20</v>
      </c>
    </row>
    <row r="58" spans="2:23" x14ac:dyDescent="0.25">
      <c r="B58" s="116" t="s">
        <v>59</v>
      </c>
      <c r="C58" s="35">
        <f>-CAPEX*10^6</f>
        <v>-2463819.0552441962</v>
      </c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</row>
    <row r="59" spans="2:23" x14ac:dyDescent="0.25">
      <c r="B59" s="116" t="s">
        <v>60</v>
      </c>
      <c r="C59" s="35"/>
      <c r="D59" s="35">
        <f t="shared" ref="D59:W59" si="26">IF(D$57="-","-",-D$20*10^3)</f>
        <v>-62792.882387440462</v>
      </c>
      <c r="E59" s="35">
        <f t="shared" si="26"/>
        <v>-62792.882387440462</v>
      </c>
      <c r="F59" s="35">
        <f t="shared" si="26"/>
        <v>-62792.882387440462</v>
      </c>
      <c r="G59" s="35">
        <f t="shared" si="26"/>
        <v>-62792.882387440462</v>
      </c>
      <c r="H59" s="35">
        <f t="shared" si="26"/>
        <v>-62792.882387440462</v>
      </c>
      <c r="I59" s="35">
        <f t="shared" si="26"/>
        <v>-62792.882387440462</v>
      </c>
      <c r="J59" s="35">
        <f t="shared" si="26"/>
        <v>-62792.882387440462</v>
      </c>
      <c r="K59" s="35">
        <f t="shared" si="26"/>
        <v>-62792.882387440462</v>
      </c>
      <c r="L59" s="35">
        <f t="shared" si="26"/>
        <v>-62792.882387440462</v>
      </c>
      <c r="M59" s="35">
        <f t="shared" si="26"/>
        <v>-60097.660452556833</v>
      </c>
      <c r="N59" s="35">
        <f t="shared" si="26"/>
        <v>-60097.660452556833</v>
      </c>
      <c r="O59" s="35">
        <f t="shared" si="26"/>
        <v>-60097.660452556833</v>
      </c>
      <c r="P59" s="35">
        <f t="shared" si="26"/>
        <v>-60097.660452556833</v>
      </c>
      <c r="Q59" s="35">
        <f t="shared" si="26"/>
        <v>-60097.660452556833</v>
      </c>
      <c r="R59" s="35">
        <f t="shared" si="26"/>
        <v>-60097.660452556833</v>
      </c>
      <c r="S59" s="35">
        <f t="shared" si="26"/>
        <v>-60097.660452556833</v>
      </c>
      <c r="T59" s="35">
        <f t="shared" si="26"/>
        <v>-60097.660452556833</v>
      </c>
      <c r="U59" s="35">
        <f t="shared" si="26"/>
        <v>-60097.660452556833</v>
      </c>
      <c r="V59" s="35">
        <f t="shared" si="26"/>
        <v>-60097.660452556833</v>
      </c>
      <c r="W59" s="35">
        <f t="shared" si="26"/>
        <v>-60097.660452556833</v>
      </c>
    </row>
    <row r="60" spans="2:23" x14ac:dyDescent="0.25">
      <c r="B60" s="116" t="s">
        <v>61</v>
      </c>
      <c r="C60" s="35"/>
      <c r="D60" s="35">
        <f>D$47</f>
        <v>347227.10272424918</v>
      </c>
      <c r="E60" s="35">
        <f t="shared" ref="E60:W60" si="27">E$47</f>
        <v>346104.69970210956</v>
      </c>
      <c r="F60" s="35">
        <f t="shared" si="27"/>
        <v>344302.47804536927</v>
      </c>
      <c r="G60" s="35">
        <f t="shared" si="27"/>
        <v>342634.82908469875</v>
      </c>
      <c r="H60" s="35">
        <f t="shared" si="27"/>
        <v>341254.18121776957</v>
      </c>
      <c r="I60" s="35">
        <f t="shared" si="27"/>
        <v>340598.80210660049</v>
      </c>
      <c r="J60" s="35">
        <f t="shared" si="27"/>
        <v>341361.40999490349</v>
      </c>
      <c r="K60" s="35">
        <f t="shared" si="27"/>
        <v>340199.00220387016</v>
      </c>
      <c r="L60" s="35">
        <f t="shared" si="27"/>
        <v>254249.54379930405</v>
      </c>
      <c r="M60" s="35" t="str">
        <f t="shared" si="27"/>
        <v/>
      </c>
      <c r="N60" s="35" t="str">
        <f t="shared" si="27"/>
        <v/>
      </c>
      <c r="O60" s="35" t="str">
        <f t="shared" si="27"/>
        <v/>
      </c>
      <c r="P60" s="35" t="str">
        <f t="shared" si="27"/>
        <v/>
      </c>
      <c r="Q60" s="35" t="str">
        <f t="shared" si="27"/>
        <v/>
      </c>
      <c r="R60" s="35" t="str">
        <f t="shared" si="27"/>
        <v/>
      </c>
      <c r="S60" s="35" t="str">
        <f t="shared" si="27"/>
        <v/>
      </c>
      <c r="T60" s="35" t="str">
        <f t="shared" si="27"/>
        <v/>
      </c>
      <c r="U60" s="35" t="str">
        <f t="shared" si="27"/>
        <v/>
      </c>
      <c r="V60" s="35" t="str">
        <f t="shared" si="27"/>
        <v/>
      </c>
      <c r="W60" s="35" t="str">
        <f t="shared" si="27"/>
        <v/>
      </c>
    </row>
    <row r="61" spans="2:23" x14ac:dyDescent="0.25">
      <c r="B61" s="116" t="s">
        <v>68</v>
      </c>
      <c r="C61" s="35"/>
      <c r="D61" s="35" t="str">
        <f t="shared" ref="D61:W61" si="28">IF(D$57&lt;année_k_révision,"",
IF(révision?="NON",D48,IF(D$57=année_k_révision,pourcentage_annéek_trev*Trévision*D$24*disponibilité*D$31,Trévision*D$24*disponibilité*D$31)))</f>
        <v/>
      </c>
      <c r="E61" s="35" t="str">
        <f t="shared" si="28"/>
        <v/>
      </c>
      <c r="F61" s="35" t="str">
        <f t="shared" si="28"/>
        <v/>
      </c>
      <c r="G61" s="35" t="str">
        <f t="shared" si="28"/>
        <v/>
      </c>
      <c r="H61" s="35" t="str">
        <f t="shared" si="28"/>
        <v/>
      </c>
      <c r="I61" s="35" t="str">
        <f t="shared" si="28"/>
        <v/>
      </c>
      <c r="J61" s="35" t="str">
        <f t="shared" si="28"/>
        <v/>
      </c>
      <c r="K61" s="35" t="str">
        <f t="shared" si="28"/>
        <v/>
      </c>
      <c r="L61" s="35">
        <f t="shared" si="28"/>
        <v>78234.338550757908</v>
      </c>
      <c r="M61" s="35">
        <f>IF(M$57&lt;année_k_révision,"",
IF(révision?="NON",M48,IF(M$57=année_k_révision,pourcentage_annéek_trev*Trévision*M$24*disponibilité*M$31,Trévision*M$24*disponibilité*M$31)))</f>
        <v>308834.30329534243</v>
      </c>
      <c r="N61" s="35">
        <f t="shared" si="28"/>
        <v>307290.13177886576</v>
      </c>
      <c r="O61" s="35">
        <f t="shared" si="28"/>
        <v>305753.68111997138</v>
      </c>
      <c r="P61" s="35">
        <f t="shared" si="28"/>
        <v>304224.91271437157</v>
      </c>
      <c r="Q61" s="35">
        <f t="shared" si="28"/>
        <v>302703.78815079975</v>
      </c>
      <c r="R61" s="35">
        <f t="shared" si="28"/>
        <v>301190.26921004575</v>
      </c>
      <c r="S61" s="35">
        <f t="shared" si="28"/>
        <v>299684.3178639955</v>
      </c>
      <c r="T61" s="35">
        <f t="shared" si="28"/>
        <v>298185.8962746755</v>
      </c>
      <c r="U61" s="35">
        <f t="shared" si="28"/>
        <v>296694.96679330216</v>
      </c>
      <c r="V61" s="35">
        <f t="shared" si="28"/>
        <v>295211.49195933563</v>
      </c>
      <c r="W61" s="35">
        <f t="shared" si="28"/>
        <v>293735.43449953897</v>
      </c>
    </row>
    <row r="62" spans="2:23" x14ac:dyDescent="0.25">
      <c r="B62" s="116" t="s">
        <v>63</v>
      </c>
      <c r="C62" s="35">
        <f>SUM(C58:C61)</f>
        <v>-2463819.0552441962</v>
      </c>
      <c r="D62" s="35">
        <f>IF(D$57="","",SUM(D58:D61))</f>
        <v>284434.22033680871</v>
      </c>
      <c r="E62" s="35">
        <f t="shared" ref="E62:W62" si="29">IF(E$57="","",SUM(E58:E61))</f>
        <v>283311.81731466908</v>
      </c>
      <c r="F62" s="35">
        <f t="shared" si="29"/>
        <v>281509.59565792879</v>
      </c>
      <c r="G62" s="35">
        <f t="shared" si="29"/>
        <v>279841.94669725827</v>
      </c>
      <c r="H62" s="35">
        <f t="shared" si="29"/>
        <v>278461.29883032909</v>
      </c>
      <c r="I62" s="35">
        <f t="shared" si="29"/>
        <v>277805.91971916001</v>
      </c>
      <c r="J62" s="35">
        <f t="shared" si="29"/>
        <v>278568.52760746301</v>
      </c>
      <c r="K62" s="35">
        <f t="shared" si="29"/>
        <v>277406.11981642968</v>
      </c>
      <c r="L62" s="35">
        <f t="shared" si="29"/>
        <v>269690.99996262148</v>
      </c>
      <c r="M62" s="35">
        <f t="shared" si="29"/>
        <v>248736.6428427856</v>
      </c>
      <c r="N62" s="35">
        <f t="shared" si="29"/>
        <v>247192.47132630894</v>
      </c>
      <c r="O62" s="35">
        <f t="shared" si="29"/>
        <v>245656.02066741456</v>
      </c>
      <c r="P62" s="35">
        <f t="shared" si="29"/>
        <v>244127.25226181475</v>
      </c>
      <c r="Q62" s="35">
        <f t="shared" si="29"/>
        <v>242606.12769824293</v>
      </c>
      <c r="R62" s="35">
        <f t="shared" si="29"/>
        <v>241092.60875748892</v>
      </c>
      <c r="S62" s="35">
        <f t="shared" si="29"/>
        <v>239586.65741143867</v>
      </c>
      <c r="T62" s="35">
        <f t="shared" si="29"/>
        <v>238088.23582211867</v>
      </c>
      <c r="U62" s="35">
        <f t="shared" si="29"/>
        <v>236597.30634074533</v>
      </c>
      <c r="V62" s="35">
        <f t="shared" si="29"/>
        <v>235113.83150677881</v>
      </c>
      <c r="W62" s="35">
        <f t="shared" si="29"/>
        <v>233637.77404698214</v>
      </c>
    </row>
    <row r="64" spans="2:23" x14ac:dyDescent="0.25">
      <c r="B64" s="36" t="s">
        <v>64</v>
      </c>
      <c r="C64" s="143">
        <f>IRR(C62:W62)</f>
        <v>8.8397348827977229E-2</v>
      </c>
    </row>
    <row r="65" spans="2:23" x14ac:dyDescent="0.25">
      <c r="B65" s="37" t="s">
        <v>65</v>
      </c>
      <c r="C65" s="143">
        <f>C64-$Y$30</f>
        <v>-1.8766069783238137E-5</v>
      </c>
    </row>
    <row r="66" spans="2:23" x14ac:dyDescent="0.25">
      <c r="C66" s="116"/>
    </row>
    <row r="67" spans="2:23" x14ac:dyDescent="0.25">
      <c r="C67" s="116"/>
    </row>
    <row r="68" spans="2:23" x14ac:dyDescent="0.25"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</row>
    <row r="69" spans="2:23" x14ac:dyDescent="0.25"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</row>
  </sheetData>
  <phoneticPr fontId="29" type="noConversion"/>
  <conditionalFormatting sqref="C64">
    <cfRule type="cellIs" dxfId="0" priority="6" operator="between">
      <formula>$Y$30-0.001</formula>
      <formula>$Y$30+0.001</formula>
    </cfRule>
  </conditionalFormatting>
  <dataValidations count="2">
    <dataValidation type="list" allowBlank="1" showInputMessage="1" showErrorMessage="1" sqref="C7">
      <formula1>"S06,S10,S10B"</formula1>
    </dataValidation>
    <dataValidation type="list" allowBlank="1" showInputMessage="1" showErrorMessage="1" sqref="C5">
      <formula1>"MC,ZNI"</formula1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Contrat!$C$3:$C$10</xm:f>
          </x14:formula1>
          <xm:sqref>C8</xm:sqref>
        </x14:dataValidation>
        <x14:dataValidation type="list" allowBlank="1" showInputMessage="1" showErrorMessage="1">
          <x14:formula1>
            <xm:f>'Modulation géo'!$B$2:$B$101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>
    <tabColor theme="5" tint="0.79998168889431442"/>
  </sheetPr>
  <dimension ref="B2:I20"/>
  <sheetViews>
    <sheetView workbookViewId="0">
      <selection activeCell="G26" sqref="G26"/>
    </sheetView>
  </sheetViews>
  <sheetFormatPr baseColWidth="10" defaultColWidth="11.42578125" defaultRowHeight="15" x14ac:dyDescent="0.25"/>
  <cols>
    <col min="1" max="2" width="11.42578125" style="1"/>
    <col min="3" max="3" width="39.42578125" style="1" customWidth="1"/>
    <col min="4" max="16384" width="11.42578125" style="1"/>
  </cols>
  <sheetData>
    <row r="2" spans="2:9" ht="15" customHeight="1" x14ac:dyDescent="0.25">
      <c r="B2" s="158" t="s">
        <v>4</v>
      </c>
      <c r="C2" s="2" t="s">
        <v>69</v>
      </c>
      <c r="D2" s="2" t="s">
        <v>70</v>
      </c>
      <c r="E2" s="3" t="s">
        <v>11</v>
      </c>
      <c r="F2" s="3" t="s">
        <v>71</v>
      </c>
      <c r="G2" s="3" t="s">
        <v>72</v>
      </c>
      <c r="H2" s="4" t="s">
        <v>73</v>
      </c>
      <c r="I2" s="3" t="s">
        <v>74</v>
      </c>
    </row>
    <row r="3" spans="2:9" x14ac:dyDescent="0.25">
      <c r="B3" s="158"/>
      <c r="C3" s="5" t="s">
        <v>75</v>
      </c>
      <c r="D3" s="5" t="s">
        <v>76</v>
      </c>
      <c r="E3" s="6"/>
      <c r="F3" s="7">
        <v>314</v>
      </c>
      <c r="G3" s="7">
        <v>276</v>
      </c>
      <c r="H3" s="8">
        <v>1500</v>
      </c>
      <c r="I3" s="7" t="s">
        <v>77</v>
      </c>
    </row>
    <row r="4" spans="2:9" x14ac:dyDescent="0.25">
      <c r="B4" s="158"/>
      <c r="C4" s="5" t="s">
        <v>78</v>
      </c>
      <c r="D4" s="5" t="s">
        <v>79</v>
      </c>
      <c r="E4" s="6"/>
      <c r="F4" s="7">
        <v>314</v>
      </c>
      <c r="G4" s="6">
        <v>276</v>
      </c>
      <c r="H4" s="8">
        <v>2200</v>
      </c>
      <c r="I4" s="7" t="s">
        <v>77</v>
      </c>
    </row>
    <row r="5" spans="2:9" x14ac:dyDescent="0.25">
      <c r="B5" s="158"/>
      <c r="C5" s="5" t="s">
        <v>80</v>
      </c>
      <c r="D5" s="5" t="s">
        <v>81</v>
      </c>
      <c r="E5" s="6"/>
      <c r="F5" s="7">
        <v>314</v>
      </c>
      <c r="G5" s="6">
        <v>276</v>
      </c>
      <c r="H5" s="8">
        <v>2200</v>
      </c>
      <c r="I5" s="7" t="s">
        <v>77</v>
      </c>
    </row>
    <row r="6" spans="2:9" x14ac:dyDescent="0.25">
      <c r="B6" s="158"/>
      <c r="C6" s="5" t="s">
        <v>82</v>
      </c>
      <c r="D6" s="5" t="s">
        <v>83</v>
      </c>
      <c r="E6" s="6"/>
      <c r="F6" s="6">
        <v>314</v>
      </c>
      <c r="G6" s="6">
        <v>276</v>
      </c>
      <c r="H6" s="8">
        <v>8760</v>
      </c>
      <c r="I6" s="7" t="s">
        <v>77</v>
      </c>
    </row>
    <row r="7" spans="2:9" x14ac:dyDescent="0.25">
      <c r="B7" s="158"/>
      <c r="C7" s="5" t="s">
        <v>84</v>
      </c>
      <c r="D7" s="5" t="s">
        <v>85</v>
      </c>
      <c r="E7" s="7">
        <v>550</v>
      </c>
      <c r="F7" s="7">
        <v>500</v>
      </c>
      <c r="G7" s="6">
        <v>440</v>
      </c>
      <c r="H7" s="8">
        <v>1500</v>
      </c>
      <c r="I7" s="7" t="s">
        <v>86</v>
      </c>
    </row>
    <row r="8" spans="2:9" x14ac:dyDescent="0.25">
      <c r="B8" s="158"/>
      <c r="C8" s="5" t="s">
        <v>87</v>
      </c>
      <c r="D8" s="5" t="s">
        <v>88</v>
      </c>
      <c r="E8" s="7">
        <f>0.89*E7</f>
        <v>489.5</v>
      </c>
      <c r="F8" s="7">
        <f>0.89*F7</f>
        <v>445</v>
      </c>
      <c r="G8" s="6">
        <v>440</v>
      </c>
      <c r="H8" s="8">
        <v>1500</v>
      </c>
      <c r="I8" s="7" t="s">
        <v>86</v>
      </c>
    </row>
    <row r="9" spans="2:9" x14ac:dyDescent="0.25">
      <c r="B9" s="158"/>
      <c r="C9" s="5" t="s">
        <v>13</v>
      </c>
      <c r="D9" s="5" t="s">
        <v>89</v>
      </c>
      <c r="E9" s="7">
        <v>300</v>
      </c>
      <c r="F9" s="7">
        <v>314</v>
      </c>
      <c r="G9" s="6">
        <v>276</v>
      </c>
      <c r="H9" s="8">
        <v>1500</v>
      </c>
      <c r="I9" s="7" t="s">
        <v>77</v>
      </c>
    </row>
    <row r="10" spans="2:9" x14ac:dyDescent="0.25">
      <c r="B10" s="158"/>
      <c r="C10" s="5" t="s">
        <v>90</v>
      </c>
      <c r="D10" s="5" t="s">
        <v>91</v>
      </c>
      <c r="E10" s="6"/>
      <c r="F10" s="7">
        <v>420</v>
      </c>
      <c r="G10" s="7">
        <v>370</v>
      </c>
      <c r="H10" s="8">
        <v>1500</v>
      </c>
      <c r="I10" s="7" t="s">
        <v>86</v>
      </c>
    </row>
    <row r="12" spans="2:9" ht="15" customHeight="1" x14ac:dyDescent="0.25">
      <c r="B12" s="158" t="s">
        <v>92</v>
      </c>
      <c r="C12" s="2" t="s">
        <v>69</v>
      </c>
      <c r="D12" s="9" t="s">
        <v>70</v>
      </c>
      <c r="E12" s="10" t="s">
        <v>11</v>
      </c>
      <c r="F12" s="10" t="s">
        <v>71</v>
      </c>
      <c r="G12" s="10" t="s">
        <v>72</v>
      </c>
      <c r="H12" s="9" t="s">
        <v>73</v>
      </c>
    </row>
    <row r="13" spans="2:9" x14ac:dyDescent="0.25">
      <c r="B13" s="158"/>
      <c r="C13" s="5" t="s">
        <v>75</v>
      </c>
      <c r="D13" s="5" t="s">
        <v>76</v>
      </c>
      <c r="E13" s="6"/>
      <c r="F13" s="6">
        <v>400</v>
      </c>
      <c r="G13" s="6">
        <v>352</v>
      </c>
      <c r="H13" s="7">
        <v>1800</v>
      </c>
    </row>
    <row r="14" spans="2:9" x14ac:dyDescent="0.25">
      <c r="B14" s="158"/>
      <c r="C14" s="5" t="s">
        <v>78</v>
      </c>
      <c r="D14" s="5" t="s">
        <v>79</v>
      </c>
      <c r="E14" s="6"/>
      <c r="F14" s="6">
        <v>400</v>
      </c>
      <c r="G14" s="6">
        <v>352</v>
      </c>
      <c r="H14" s="7">
        <v>2600</v>
      </c>
    </row>
    <row r="15" spans="2:9" x14ac:dyDescent="0.25">
      <c r="B15" s="158"/>
      <c r="C15" s="5" t="s">
        <v>80</v>
      </c>
      <c r="D15" s="5" t="s">
        <v>81</v>
      </c>
      <c r="E15" s="6"/>
      <c r="F15" s="6">
        <v>400</v>
      </c>
      <c r="G15" s="6">
        <v>352</v>
      </c>
      <c r="H15" s="7">
        <v>2600</v>
      </c>
    </row>
    <row r="16" spans="2:9" x14ac:dyDescent="0.25">
      <c r="B16" s="158"/>
      <c r="C16" s="5" t="s">
        <v>82</v>
      </c>
      <c r="D16" s="5" t="s">
        <v>83</v>
      </c>
      <c r="E16" s="6"/>
      <c r="F16" s="6">
        <v>400</v>
      </c>
      <c r="G16" s="6">
        <v>352</v>
      </c>
      <c r="H16" s="7">
        <v>8760</v>
      </c>
    </row>
    <row r="17" spans="2:9" x14ac:dyDescent="0.25">
      <c r="B17" s="158"/>
      <c r="C17" s="5" t="s">
        <v>84</v>
      </c>
      <c r="D17" s="5" t="s">
        <v>85</v>
      </c>
      <c r="E17" s="7">
        <v>550</v>
      </c>
      <c r="F17" s="6">
        <v>500</v>
      </c>
      <c r="G17" s="6">
        <v>440</v>
      </c>
      <c r="H17" s="7">
        <v>1800</v>
      </c>
    </row>
    <row r="18" spans="2:9" x14ac:dyDescent="0.25">
      <c r="B18" s="158"/>
      <c r="C18" s="5" t="s">
        <v>87</v>
      </c>
      <c r="D18" s="5" t="s">
        <v>88</v>
      </c>
      <c r="E18" s="7">
        <v>550</v>
      </c>
      <c r="F18" s="6">
        <v>580</v>
      </c>
      <c r="G18" s="6">
        <v>440</v>
      </c>
      <c r="H18" s="7">
        <v>1800</v>
      </c>
    </row>
    <row r="19" spans="2:9" x14ac:dyDescent="0.25">
      <c r="B19" s="158"/>
      <c r="C19" s="5" t="s">
        <v>13</v>
      </c>
      <c r="D19" s="5" t="s">
        <v>89</v>
      </c>
      <c r="E19" s="7">
        <v>400</v>
      </c>
      <c r="F19" s="7">
        <v>400</v>
      </c>
      <c r="G19" s="6">
        <v>352</v>
      </c>
      <c r="H19" s="7">
        <v>1800</v>
      </c>
    </row>
    <row r="20" spans="2:9" x14ac:dyDescent="0.25">
      <c r="B20" s="158"/>
      <c r="C20" s="5" t="s">
        <v>90</v>
      </c>
      <c r="D20" s="5" t="s">
        <v>91</v>
      </c>
      <c r="E20" s="6"/>
      <c r="F20" s="7">
        <v>420</v>
      </c>
      <c r="G20" s="6">
        <v>370</v>
      </c>
      <c r="H20" s="7">
        <v>1800</v>
      </c>
      <c r="I20"/>
    </row>
  </sheetData>
  <mergeCells count="2">
    <mergeCell ref="B2:B10"/>
    <mergeCell ref="B12:B2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5" tint="0.79998168889431442"/>
  </sheetPr>
  <dimension ref="A1:T59"/>
  <sheetViews>
    <sheetView topLeftCell="E1" workbookViewId="0">
      <selection activeCell="S10" sqref="S10"/>
    </sheetView>
  </sheetViews>
  <sheetFormatPr baseColWidth="10" defaultColWidth="11.42578125" defaultRowHeight="15" x14ac:dyDescent="0.25"/>
  <cols>
    <col min="1" max="19" width="11.42578125" style="1"/>
    <col min="20" max="20" width="14.140625" style="1" customWidth="1"/>
    <col min="21" max="16384" width="11.42578125" style="1"/>
  </cols>
  <sheetData>
    <row r="1" spans="1:20" x14ac:dyDescent="0.25">
      <c r="A1" s="159" t="s">
        <v>150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1"/>
    </row>
    <row r="2" spans="1:20" x14ac:dyDescent="0.25">
      <c r="A2" s="44"/>
      <c r="B2" s="162" t="s">
        <v>151</v>
      </c>
      <c r="C2" s="162"/>
      <c r="D2" s="162"/>
      <c r="E2" s="162"/>
      <c r="F2" s="163" t="s">
        <v>152</v>
      </c>
      <c r="G2" s="163"/>
      <c r="H2" s="163"/>
      <c r="I2" s="163"/>
      <c r="J2" s="164" t="s">
        <v>153</v>
      </c>
      <c r="K2" s="164"/>
      <c r="L2" s="164"/>
      <c r="M2" s="164"/>
      <c r="N2" s="165" t="s">
        <v>154</v>
      </c>
      <c r="O2" s="165"/>
      <c r="P2" s="165"/>
      <c r="Q2" s="165"/>
    </row>
    <row r="3" spans="1:20" ht="22.5" x14ac:dyDescent="0.25">
      <c r="A3" s="45" t="s">
        <v>93</v>
      </c>
      <c r="B3" s="46" t="s">
        <v>155</v>
      </c>
      <c r="C3" s="46" t="s">
        <v>156</v>
      </c>
      <c r="D3" s="46" t="s">
        <v>157</v>
      </c>
      <c r="E3" s="46" t="s">
        <v>29</v>
      </c>
      <c r="F3" s="47" t="s">
        <v>155</v>
      </c>
      <c r="G3" s="47" t="s">
        <v>156</v>
      </c>
      <c r="H3" s="47" t="s">
        <v>157</v>
      </c>
      <c r="I3" s="47" t="s">
        <v>158</v>
      </c>
      <c r="J3" s="48" t="s">
        <v>155</v>
      </c>
      <c r="K3" s="48" t="s">
        <v>156</v>
      </c>
      <c r="L3" s="48" t="s">
        <v>157</v>
      </c>
      <c r="M3" s="48" t="s">
        <v>158</v>
      </c>
      <c r="N3" s="49" t="s">
        <v>155</v>
      </c>
      <c r="O3" s="49" t="s">
        <v>156</v>
      </c>
      <c r="P3" s="49" t="s">
        <v>157</v>
      </c>
      <c r="Q3" s="49" t="s">
        <v>158</v>
      </c>
      <c r="T3" s="49" t="s">
        <v>159</v>
      </c>
    </row>
    <row r="4" spans="1:20" x14ac:dyDescent="0.25">
      <c r="A4" s="50" t="s">
        <v>94</v>
      </c>
      <c r="B4" s="132">
        <v>3.8717946679081887</v>
      </c>
      <c r="C4" s="132">
        <v>3.5351168706987801</v>
      </c>
      <c r="D4" s="132">
        <v>3.1984390734893728</v>
      </c>
      <c r="E4" s="132">
        <v>2.9627646154427874</v>
      </c>
      <c r="F4" s="132">
        <v>4.5114824826060627</v>
      </c>
      <c r="G4" s="132">
        <v>4.5451502623270041</v>
      </c>
      <c r="H4" s="132">
        <v>4.5114824826060627</v>
      </c>
      <c r="I4" s="132">
        <v>4.1790574575719326</v>
      </c>
      <c r="J4" s="132">
        <v>4.7945488109463223</v>
      </c>
      <c r="K4" s="132">
        <v>4.8353513465380944</v>
      </c>
      <c r="L4" s="132">
        <v>4.6522885124669031</v>
      </c>
      <c r="M4" s="132">
        <v>4.3198634874327739</v>
      </c>
      <c r="N4" s="132">
        <v>4.9214824826060628</v>
      </c>
      <c r="O4" s="132">
        <v>4.9551502623270043</v>
      </c>
      <c r="P4" s="132">
        <v>4.9214824826060628</v>
      </c>
      <c r="Q4" s="132">
        <v>4.5890574575719327</v>
      </c>
      <c r="S4" s="52" t="s">
        <v>168</v>
      </c>
      <c r="T4" s="53">
        <v>0.25</v>
      </c>
    </row>
    <row r="5" spans="1:20" x14ac:dyDescent="0.25">
      <c r="A5" s="50" t="s">
        <v>95</v>
      </c>
      <c r="B5" s="132">
        <v>3.8717946679081887</v>
      </c>
      <c r="C5" s="132">
        <v>3.5351168706987801</v>
      </c>
      <c r="D5" s="132">
        <v>3.1984390734893728</v>
      </c>
      <c r="E5" s="132">
        <v>2.9627646154427874</v>
      </c>
      <c r="F5" s="132">
        <v>4.5114824826060627</v>
      </c>
      <c r="G5" s="132">
        <v>4.5451502623270041</v>
      </c>
      <c r="H5" s="132">
        <v>4.5114824826060627</v>
      </c>
      <c r="I5" s="132">
        <v>4.1790574575719326</v>
      </c>
      <c r="J5" s="132">
        <v>4.7945488109463223</v>
      </c>
      <c r="K5" s="132">
        <v>4.8353513465380944</v>
      </c>
      <c r="L5" s="132">
        <v>4.6522885124669031</v>
      </c>
      <c r="M5" s="132">
        <v>4.3198634874327739</v>
      </c>
      <c r="N5" s="132">
        <v>4.9214824826060628</v>
      </c>
      <c r="O5" s="132">
        <v>4.9551502623270043</v>
      </c>
      <c r="P5" s="132">
        <v>4.9214824826060628</v>
      </c>
      <c r="Q5" s="132">
        <v>4.5890574575719327</v>
      </c>
      <c r="S5" s="52" t="s">
        <v>169</v>
      </c>
      <c r="T5" s="53">
        <v>0.25</v>
      </c>
    </row>
    <row r="6" spans="1:20" x14ac:dyDescent="0.25">
      <c r="A6" s="50" t="s">
        <v>96</v>
      </c>
      <c r="B6" s="132">
        <v>3.8717946679081887</v>
      </c>
      <c r="C6" s="132">
        <v>3.5351168706987801</v>
      </c>
      <c r="D6" s="132">
        <v>3.1984390734893728</v>
      </c>
      <c r="E6" s="132">
        <v>2.9627646154427874</v>
      </c>
      <c r="F6" s="132">
        <v>4.5114824826060627</v>
      </c>
      <c r="G6" s="132">
        <v>4.5451502623270041</v>
      </c>
      <c r="H6" s="132">
        <v>4.5114824826060627</v>
      </c>
      <c r="I6" s="132">
        <v>4.1790574575719326</v>
      </c>
      <c r="J6" s="132">
        <v>4.7945488109463223</v>
      </c>
      <c r="K6" s="132">
        <v>4.8353513465380944</v>
      </c>
      <c r="L6" s="132">
        <v>4.6522885124669031</v>
      </c>
      <c r="M6" s="132">
        <v>4.3198634874327739</v>
      </c>
      <c r="N6" s="132">
        <v>4.9214824826060628</v>
      </c>
      <c r="O6" s="132">
        <v>4.9551502623270043</v>
      </c>
      <c r="P6" s="132">
        <v>4.9214824826060628</v>
      </c>
      <c r="Q6" s="132">
        <v>4.5890574575719327</v>
      </c>
      <c r="S6" s="52" t="s">
        <v>165</v>
      </c>
      <c r="T6" s="53">
        <v>0.25</v>
      </c>
    </row>
    <row r="7" spans="1:20" x14ac:dyDescent="0.25">
      <c r="A7" s="50" t="s">
        <v>97</v>
      </c>
      <c r="B7" s="132">
        <v>3.8635306267285769</v>
      </c>
      <c r="C7" s="132">
        <v>3.527571441795657</v>
      </c>
      <c r="D7" s="132">
        <v>3.191612256862737</v>
      </c>
      <c r="E7" s="132">
        <v>2.9564408274096934</v>
      </c>
      <c r="F7" s="132">
        <v>4.5018530781011243</v>
      </c>
      <c r="G7" s="132">
        <v>4.5354489965944165</v>
      </c>
      <c r="H7" s="132">
        <v>4.5018530781011243</v>
      </c>
      <c r="I7" s="132">
        <v>4.1701375881357787</v>
      </c>
      <c r="J7" s="132">
        <v>4.784919406441384</v>
      </c>
      <c r="K7" s="132">
        <v>4.8256500808055067</v>
      </c>
      <c r="L7" s="132">
        <v>4.6426591079619648</v>
      </c>
      <c r="M7" s="132">
        <v>4.3109436179966201</v>
      </c>
      <c r="N7" s="132">
        <v>4.9118530781011245</v>
      </c>
      <c r="O7" s="132">
        <v>4.9454489965944166</v>
      </c>
      <c r="P7" s="132">
        <v>4.9118530781011245</v>
      </c>
      <c r="Q7" s="132">
        <v>4.5801375881357789</v>
      </c>
      <c r="S7" s="52" t="s">
        <v>167</v>
      </c>
      <c r="T7" s="53">
        <v>0.25</v>
      </c>
    </row>
    <row r="8" spans="1:20" x14ac:dyDescent="0.25">
      <c r="A8" s="50" t="s">
        <v>98</v>
      </c>
      <c r="B8" s="132">
        <v>3.8552665855489656</v>
      </c>
      <c r="C8" s="132">
        <v>3.5200260128925334</v>
      </c>
      <c r="D8" s="132">
        <v>3.1847854402361011</v>
      </c>
      <c r="E8" s="132">
        <v>2.9501170393765994</v>
      </c>
      <c r="F8" s="132">
        <v>4.4922236735961851</v>
      </c>
      <c r="G8" s="132">
        <v>4.5257477308618297</v>
      </c>
      <c r="H8" s="132">
        <v>4.4922236735961851</v>
      </c>
      <c r="I8" s="132">
        <v>4.1612177186996249</v>
      </c>
      <c r="J8" s="132">
        <v>4.7752900019364457</v>
      </c>
      <c r="K8" s="132">
        <v>4.8159488150729199</v>
      </c>
      <c r="L8" s="132">
        <v>4.6330297034570265</v>
      </c>
      <c r="M8" s="132">
        <v>4.3020237485604662</v>
      </c>
      <c r="N8" s="132">
        <v>4.9022236735961853</v>
      </c>
      <c r="O8" s="132">
        <v>4.9357477308618298</v>
      </c>
      <c r="P8" s="132">
        <v>4.9022236735961853</v>
      </c>
      <c r="Q8" s="132">
        <v>4.571217718699625</v>
      </c>
      <c r="S8" s="52" t="s">
        <v>168</v>
      </c>
      <c r="T8" s="53">
        <v>0.25</v>
      </c>
    </row>
    <row r="9" spans="1:20" x14ac:dyDescent="0.25">
      <c r="A9" s="50" t="s">
        <v>99</v>
      </c>
      <c r="B9" s="132">
        <v>3.8470025443693538</v>
      </c>
      <c r="C9" s="132">
        <v>3.5124805839894098</v>
      </c>
      <c r="D9" s="132">
        <v>3.1779586236094652</v>
      </c>
      <c r="E9" s="132">
        <v>2.9437932513435054</v>
      </c>
      <c r="F9" s="132">
        <v>4.4825942690912468</v>
      </c>
      <c r="G9" s="132">
        <v>4.516046465129242</v>
      </c>
      <c r="H9" s="132">
        <v>4.4825942690912468</v>
      </c>
      <c r="I9" s="132">
        <v>4.1522978492634719</v>
      </c>
      <c r="J9" s="132">
        <v>4.7656605974315065</v>
      </c>
      <c r="K9" s="132">
        <v>4.8062475493403323</v>
      </c>
      <c r="L9" s="132">
        <v>4.6234002989520881</v>
      </c>
      <c r="M9" s="132">
        <v>4.2931038791243123</v>
      </c>
      <c r="N9" s="132">
        <v>4.892594269091247</v>
      </c>
      <c r="O9" s="132">
        <v>4.9260464651292422</v>
      </c>
      <c r="P9" s="132">
        <v>4.892594269091247</v>
      </c>
      <c r="Q9" s="132">
        <v>4.562297849263472</v>
      </c>
      <c r="S9" s="52" t="s">
        <v>169</v>
      </c>
      <c r="T9" s="53">
        <v>0.25</v>
      </c>
    </row>
    <row r="10" spans="1:20" x14ac:dyDescent="0.25">
      <c r="A10" s="50" t="s">
        <v>100</v>
      </c>
      <c r="B10" s="132">
        <v>3.8346769631658573</v>
      </c>
      <c r="C10" s="132">
        <v>3.5012267924557823</v>
      </c>
      <c r="D10" s="132">
        <v>3.1677766217457073</v>
      </c>
      <c r="E10" s="132">
        <v>2.934361502248656</v>
      </c>
      <c r="F10" s="132">
        <v>4.4682322875149989</v>
      </c>
      <c r="G10" s="132">
        <v>4.5015773045860072</v>
      </c>
      <c r="H10" s="132">
        <v>4.4682322875149989</v>
      </c>
      <c r="I10" s="132">
        <v>4.1389941189612633</v>
      </c>
      <c r="J10" s="132">
        <v>4.7512986158552586</v>
      </c>
      <c r="K10" s="132">
        <v>4.7917783887970966</v>
      </c>
      <c r="L10" s="132">
        <v>4.6090383173758402</v>
      </c>
      <c r="M10" s="132">
        <v>4.2798001488221038</v>
      </c>
      <c r="N10" s="132">
        <v>4.878232287514999</v>
      </c>
      <c r="O10" s="132">
        <v>4.9115773045860074</v>
      </c>
      <c r="P10" s="132">
        <v>4.878232287514999</v>
      </c>
      <c r="Q10" s="132">
        <v>4.5489941189612635</v>
      </c>
    </row>
    <row r="11" spans="1:20" x14ac:dyDescent="0.25">
      <c r="A11" s="50" t="s">
        <v>101</v>
      </c>
      <c r="B11" s="132">
        <v>3.8182898419384763</v>
      </c>
      <c r="C11" s="132">
        <v>3.4862646382916518</v>
      </c>
      <c r="D11" s="132">
        <v>3.1542394346448273</v>
      </c>
      <c r="E11" s="132">
        <v>2.9218217920920511</v>
      </c>
      <c r="F11" s="132">
        <v>4.4491377288674414</v>
      </c>
      <c r="G11" s="132">
        <v>4.4823402492321254</v>
      </c>
      <c r="H11" s="132">
        <v>4.4491377288674414</v>
      </c>
      <c r="I11" s="132">
        <v>4.1213065277929992</v>
      </c>
      <c r="J11" s="132">
        <v>4.7322040572077011</v>
      </c>
      <c r="K11" s="132">
        <v>4.7725413334432147</v>
      </c>
      <c r="L11" s="132">
        <v>4.5899437587282828</v>
      </c>
      <c r="M11" s="132">
        <v>4.2621125576538397</v>
      </c>
      <c r="N11" s="132">
        <v>4.8591377288674416</v>
      </c>
      <c r="O11" s="132">
        <v>4.8923402492321255</v>
      </c>
      <c r="P11" s="132">
        <v>4.8591377288674416</v>
      </c>
      <c r="Q11" s="132">
        <v>4.5313065277929994</v>
      </c>
    </row>
    <row r="12" spans="1:20" x14ac:dyDescent="0.25">
      <c r="A12" s="50" t="s">
        <v>102</v>
      </c>
      <c r="B12" s="132">
        <v>3.8019027207110949</v>
      </c>
      <c r="C12" s="132">
        <v>3.4713024841275208</v>
      </c>
      <c r="D12" s="132">
        <v>3.1407022475439472</v>
      </c>
      <c r="E12" s="132">
        <v>2.9092820819354461</v>
      </c>
      <c r="F12" s="132">
        <v>4.4300431702198839</v>
      </c>
      <c r="G12" s="132">
        <v>4.4631031938782417</v>
      </c>
      <c r="H12" s="132">
        <v>4.4300431702198839</v>
      </c>
      <c r="I12" s="132">
        <v>4.103618936624736</v>
      </c>
      <c r="J12" s="132">
        <v>4.7131094985601436</v>
      </c>
      <c r="K12" s="132">
        <v>4.7533042780893329</v>
      </c>
      <c r="L12" s="132">
        <v>4.5708492000807253</v>
      </c>
      <c r="M12" s="132">
        <v>4.2444249664855764</v>
      </c>
      <c r="N12" s="132">
        <v>4.8400431702198849</v>
      </c>
      <c r="O12" s="132">
        <v>4.8731031938782419</v>
      </c>
      <c r="P12" s="132">
        <v>4.8400431702198849</v>
      </c>
      <c r="Q12" s="132">
        <v>4.5136189366247361</v>
      </c>
    </row>
    <row r="13" spans="1:20" x14ac:dyDescent="0.25">
      <c r="A13" s="50" t="s">
        <v>103</v>
      </c>
      <c r="B13" s="132">
        <v>3.785515599483714</v>
      </c>
      <c r="C13" s="132">
        <v>3.4563403299633904</v>
      </c>
      <c r="D13" s="132">
        <v>3.1271650604430672</v>
      </c>
      <c r="E13" s="132">
        <v>2.8967423717788412</v>
      </c>
      <c r="F13" s="132">
        <v>4.4109486115723273</v>
      </c>
      <c r="G13" s="132">
        <v>4.4438661385243599</v>
      </c>
      <c r="H13" s="132">
        <v>4.4109486115723273</v>
      </c>
      <c r="I13" s="132">
        <v>4.0859313454564727</v>
      </c>
      <c r="J13" s="132">
        <v>4.694014939912587</v>
      </c>
      <c r="K13" s="132">
        <v>4.7340672227354501</v>
      </c>
      <c r="L13" s="132">
        <v>4.5517546414331678</v>
      </c>
      <c r="M13" s="132">
        <v>4.2267373753173132</v>
      </c>
      <c r="N13" s="132">
        <v>4.8209486115723275</v>
      </c>
      <c r="O13" s="132">
        <v>4.85386613852436</v>
      </c>
      <c r="P13" s="132">
        <v>4.8209486115723275</v>
      </c>
      <c r="Q13" s="132">
        <v>4.495931345456472</v>
      </c>
    </row>
    <row r="14" spans="1:20" x14ac:dyDescent="0.25">
      <c r="A14" s="50" t="s">
        <v>104</v>
      </c>
      <c r="B14" s="132">
        <v>3.7612144355087365</v>
      </c>
      <c r="C14" s="132">
        <v>3.4341523106818892</v>
      </c>
      <c r="D14" s="132">
        <v>3.1070901858550419</v>
      </c>
      <c r="E14" s="132">
        <v>2.8781466984762498</v>
      </c>
      <c r="F14" s="132">
        <v>4.3826324726797452</v>
      </c>
      <c r="G14" s="132">
        <v>4.4153386851624301</v>
      </c>
      <c r="H14" s="132">
        <v>4.3826324726797452</v>
      </c>
      <c r="I14" s="132">
        <v>4.059701658903343</v>
      </c>
      <c r="J14" s="132">
        <v>4.665698801020004</v>
      </c>
      <c r="K14" s="132">
        <v>4.7055397693735195</v>
      </c>
      <c r="L14" s="132">
        <v>4.5234385025405857</v>
      </c>
      <c r="M14" s="132">
        <v>4.2005076887641835</v>
      </c>
      <c r="N14" s="132">
        <v>4.7926324726797445</v>
      </c>
      <c r="O14" s="132">
        <v>4.8253386851624303</v>
      </c>
      <c r="P14" s="132">
        <v>4.7926324726797445</v>
      </c>
      <c r="Q14" s="132">
        <v>4.4697016589033431</v>
      </c>
    </row>
    <row r="15" spans="1:20" x14ac:dyDescent="0.25">
      <c r="A15" s="50" t="s">
        <v>105</v>
      </c>
      <c r="B15" s="132">
        <v>3.7289992287861624</v>
      </c>
      <c r="C15" s="132">
        <v>3.4047384262830169</v>
      </c>
      <c r="D15" s="132">
        <v>3.0804776237798723</v>
      </c>
      <c r="E15" s="132">
        <v>2.8534950620276716</v>
      </c>
      <c r="F15" s="132">
        <v>4.3450947535421367</v>
      </c>
      <c r="G15" s="132">
        <v>4.3775208337924516</v>
      </c>
      <c r="H15" s="132">
        <v>4.3450947535421367</v>
      </c>
      <c r="I15" s="132">
        <v>4.0249298769653485</v>
      </c>
      <c r="J15" s="132">
        <v>4.6281610818823964</v>
      </c>
      <c r="K15" s="132">
        <v>4.6677219180035419</v>
      </c>
      <c r="L15" s="132">
        <v>4.4859007834029772</v>
      </c>
      <c r="M15" s="132">
        <v>4.165735906826189</v>
      </c>
      <c r="N15" s="132">
        <v>4.7550947535421368</v>
      </c>
      <c r="O15" s="132">
        <v>4.7875208337924517</v>
      </c>
      <c r="P15" s="132">
        <v>4.7550947535421368</v>
      </c>
      <c r="Q15" s="132">
        <v>4.4349298769653487</v>
      </c>
    </row>
    <row r="16" spans="1:20" x14ac:dyDescent="0.25">
      <c r="A16" s="50" t="s">
        <v>106</v>
      </c>
      <c r="B16" s="132">
        <v>3.6967840220635884</v>
      </c>
      <c r="C16" s="132">
        <v>3.3753245418841451</v>
      </c>
      <c r="D16" s="132">
        <v>3.0538650617047027</v>
      </c>
      <c r="E16" s="132">
        <v>2.8288434255790937</v>
      </c>
      <c r="F16" s="132">
        <v>4.3075570344045291</v>
      </c>
      <c r="G16" s="132">
        <v>4.339702982422474</v>
      </c>
      <c r="H16" s="132">
        <v>4.3075570344045291</v>
      </c>
      <c r="I16" s="132">
        <v>3.9901580950273532</v>
      </c>
      <c r="J16" s="132">
        <v>4.5906233627447888</v>
      </c>
      <c r="K16" s="132">
        <v>4.6299040666335642</v>
      </c>
      <c r="L16" s="132">
        <v>4.4483630642653704</v>
      </c>
      <c r="M16" s="132">
        <v>4.1309641248881945</v>
      </c>
      <c r="N16" s="132">
        <v>4.7175570344045292</v>
      </c>
      <c r="O16" s="132">
        <v>4.7497029824224741</v>
      </c>
      <c r="P16" s="132">
        <v>4.7175570344045292</v>
      </c>
      <c r="Q16" s="132">
        <v>4.4001580950273533</v>
      </c>
    </row>
    <row r="17" spans="1:17" x14ac:dyDescent="0.25">
      <c r="A17" s="50" t="s">
        <v>107</v>
      </c>
      <c r="B17" s="132">
        <v>3.6645688153410143</v>
      </c>
      <c r="C17" s="132">
        <v>3.3459106574852733</v>
      </c>
      <c r="D17" s="132">
        <v>3.0272524996295331</v>
      </c>
      <c r="E17" s="132">
        <v>2.804191789130515</v>
      </c>
      <c r="F17" s="132">
        <v>4.2700193152669215</v>
      </c>
      <c r="G17" s="132">
        <v>4.3018851310524955</v>
      </c>
      <c r="H17" s="132">
        <v>4.2700193152669215</v>
      </c>
      <c r="I17" s="132">
        <v>3.9553863130893587</v>
      </c>
      <c r="J17" s="132">
        <v>4.5530856436071812</v>
      </c>
      <c r="K17" s="132">
        <v>4.5920862152635866</v>
      </c>
      <c r="L17" s="132">
        <v>4.4108253451277619</v>
      </c>
      <c r="M17" s="132">
        <v>4.0961923429502001</v>
      </c>
      <c r="N17" s="132">
        <v>4.6800193152669216</v>
      </c>
      <c r="O17" s="132">
        <v>4.7118851310524956</v>
      </c>
      <c r="P17" s="132">
        <v>4.6800193152669216</v>
      </c>
      <c r="Q17" s="132">
        <v>4.3653863130893589</v>
      </c>
    </row>
    <row r="18" spans="1:17" x14ac:dyDescent="0.25">
      <c r="A18" s="50" t="s">
        <v>108</v>
      </c>
      <c r="B18" s="132">
        <v>3.6173450055896628</v>
      </c>
      <c r="C18" s="132">
        <v>3.30279326597317</v>
      </c>
      <c r="D18" s="132">
        <v>2.9882415263566777</v>
      </c>
      <c r="E18" s="132">
        <v>2.7680553086251334</v>
      </c>
      <c r="F18" s="132">
        <v>4.2149933108609989</v>
      </c>
      <c r="G18" s="132">
        <v>4.2464484848226478</v>
      </c>
      <c r="H18" s="132">
        <v>4.2149933108609989</v>
      </c>
      <c r="I18" s="132">
        <v>3.9044148563765044</v>
      </c>
      <c r="J18" s="132">
        <v>4.4980596392012577</v>
      </c>
      <c r="K18" s="132">
        <v>4.5366495690337389</v>
      </c>
      <c r="L18" s="132">
        <v>4.3557993407218394</v>
      </c>
      <c r="M18" s="132">
        <v>4.0452208862373453</v>
      </c>
      <c r="N18" s="132">
        <v>4.6249933108609991</v>
      </c>
      <c r="O18" s="132">
        <v>4.6564484848226479</v>
      </c>
      <c r="P18" s="132">
        <v>4.6249933108609991</v>
      </c>
      <c r="Q18" s="132">
        <v>4.3144148563765041</v>
      </c>
    </row>
    <row r="19" spans="1:17" x14ac:dyDescent="0.25">
      <c r="A19" s="50" t="s">
        <v>109</v>
      </c>
      <c r="B19" s="132">
        <v>3.5551125928095337</v>
      </c>
      <c r="C19" s="132">
        <v>3.2459723673478345</v>
      </c>
      <c r="D19" s="132">
        <v>2.9368321418861361</v>
      </c>
      <c r="E19" s="132">
        <v>2.7204339840629475</v>
      </c>
      <c r="F19" s="132">
        <v>4.1424790211867606</v>
      </c>
      <c r="G19" s="132">
        <v>4.173393043732931</v>
      </c>
      <c r="H19" s="132">
        <v>4.1424790211867606</v>
      </c>
      <c r="I19" s="132">
        <v>3.8372437248887894</v>
      </c>
      <c r="J19" s="132">
        <v>4.4255453495270203</v>
      </c>
      <c r="K19" s="132">
        <v>4.4635941279440212</v>
      </c>
      <c r="L19" s="132">
        <v>4.2832850510476028</v>
      </c>
      <c r="M19" s="132">
        <v>3.9780497547496303</v>
      </c>
      <c r="N19" s="132">
        <v>4.5524790211867607</v>
      </c>
      <c r="O19" s="132">
        <v>4.5833930437329311</v>
      </c>
      <c r="P19" s="132">
        <v>4.5524790211867607</v>
      </c>
      <c r="Q19" s="132">
        <v>4.2472437248887891</v>
      </c>
    </row>
    <row r="20" spans="1:17" x14ac:dyDescent="0.25">
      <c r="A20" s="50" t="s">
        <v>110</v>
      </c>
      <c r="B20" s="132">
        <v>3.4928801800294047</v>
      </c>
      <c r="C20" s="132">
        <v>3.1891514687224989</v>
      </c>
      <c r="D20" s="132">
        <v>2.8854227574155944</v>
      </c>
      <c r="E20" s="132">
        <v>2.6728126595007615</v>
      </c>
      <c r="F20" s="132">
        <v>4.069964731512524</v>
      </c>
      <c r="G20" s="132">
        <v>4.100337602643215</v>
      </c>
      <c r="H20" s="132">
        <v>4.069964731512524</v>
      </c>
      <c r="I20" s="132">
        <v>3.7700725934010748</v>
      </c>
      <c r="J20" s="132">
        <v>4.3530310598527828</v>
      </c>
      <c r="K20" s="132">
        <v>4.3905386868543053</v>
      </c>
      <c r="L20" s="132">
        <v>4.2107707613733645</v>
      </c>
      <c r="M20" s="132">
        <v>3.9108786232619162</v>
      </c>
      <c r="N20" s="132">
        <v>4.4799647315125233</v>
      </c>
      <c r="O20" s="132">
        <v>4.5103376026432151</v>
      </c>
      <c r="P20" s="132">
        <v>4.4799647315125233</v>
      </c>
      <c r="Q20" s="132">
        <v>4.180072593401075</v>
      </c>
    </row>
    <row r="21" spans="1:17" x14ac:dyDescent="0.25">
      <c r="A21" s="50" t="s">
        <v>111</v>
      </c>
      <c r="B21" s="132">
        <v>3.4306477672492757</v>
      </c>
      <c r="C21" s="132">
        <v>3.1323305700971638</v>
      </c>
      <c r="D21" s="132">
        <v>2.8340133729450527</v>
      </c>
      <c r="E21" s="132">
        <v>2.6251913349385756</v>
      </c>
      <c r="F21" s="132">
        <v>3.9974504418382857</v>
      </c>
      <c r="G21" s="132">
        <v>4.0272821615534973</v>
      </c>
      <c r="H21" s="132">
        <v>3.9974504418382857</v>
      </c>
      <c r="I21" s="132">
        <v>3.7029014619133598</v>
      </c>
      <c r="J21" s="132">
        <v>4.2805167701785445</v>
      </c>
      <c r="K21" s="132">
        <v>4.3174832457645875</v>
      </c>
      <c r="L21" s="132">
        <v>4.138256471699127</v>
      </c>
      <c r="M21" s="132">
        <v>3.8437074917742011</v>
      </c>
      <c r="N21" s="132">
        <v>4.4074504418382858</v>
      </c>
      <c r="O21" s="132">
        <v>4.4372821615534974</v>
      </c>
      <c r="P21" s="132">
        <v>4.4074504418382858</v>
      </c>
      <c r="Q21" s="132">
        <v>4.1129014619133599</v>
      </c>
    </row>
    <row r="22" spans="1:17" x14ac:dyDescent="0.25">
      <c r="A22" s="50" t="s">
        <v>112</v>
      </c>
      <c r="B22" s="132">
        <v>3.3415451827500489</v>
      </c>
      <c r="C22" s="132">
        <v>3.0509760364239571</v>
      </c>
      <c r="D22" s="132">
        <v>2.7604068900978658</v>
      </c>
      <c r="E22" s="132">
        <v>2.5570084876696022</v>
      </c>
      <c r="F22" s="132">
        <v>3.8936265607696221</v>
      </c>
      <c r="G22" s="132">
        <v>3.9226834754022319</v>
      </c>
      <c r="H22" s="132">
        <v>3.8936265607696221</v>
      </c>
      <c r="I22" s="132">
        <v>3.6067277615550184</v>
      </c>
      <c r="J22" s="132">
        <v>4.1766928891098809</v>
      </c>
      <c r="K22" s="132">
        <v>4.2128845596133218</v>
      </c>
      <c r="L22" s="132">
        <v>4.0344325906304626</v>
      </c>
      <c r="M22" s="132">
        <v>3.7475337914158597</v>
      </c>
      <c r="N22" s="132">
        <v>4.3036265607696214</v>
      </c>
      <c r="O22" s="132">
        <v>4.3326834754022316</v>
      </c>
      <c r="P22" s="132">
        <v>4.3036265607696214</v>
      </c>
      <c r="Q22" s="132">
        <v>4.0167277615550185</v>
      </c>
    </row>
    <row r="23" spans="1:17" x14ac:dyDescent="0.25">
      <c r="A23" s="50" t="s">
        <v>113</v>
      </c>
      <c r="B23" s="132">
        <v>3.2255724265317252</v>
      </c>
      <c r="C23" s="132">
        <v>2.9450878677028789</v>
      </c>
      <c r="D23" s="132">
        <v>2.6646033088740335</v>
      </c>
      <c r="E23" s="132">
        <v>2.4682641176938418</v>
      </c>
      <c r="F23" s="132">
        <v>3.7584930883065319</v>
      </c>
      <c r="G23" s="132">
        <v>3.7865415441894172</v>
      </c>
      <c r="H23" s="132">
        <v>3.7584930883065319</v>
      </c>
      <c r="I23" s="132">
        <v>3.4815514923260507</v>
      </c>
      <c r="J23" s="132">
        <v>4.0415594166467912</v>
      </c>
      <c r="K23" s="132">
        <v>4.0767426284005079</v>
      </c>
      <c r="L23" s="132">
        <v>3.8992991181673724</v>
      </c>
      <c r="M23" s="132">
        <v>3.622357522186892</v>
      </c>
      <c r="N23" s="132">
        <v>4.1684930883065316</v>
      </c>
      <c r="O23" s="132">
        <v>4.1965415441894169</v>
      </c>
      <c r="P23" s="132">
        <v>4.1684930883065316</v>
      </c>
      <c r="Q23" s="132">
        <v>3.8915514923260508</v>
      </c>
    </row>
    <row r="24" spans="1:17" x14ac:dyDescent="0.25">
      <c r="A24" s="50" t="s">
        <v>114</v>
      </c>
      <c r="B24" s="132">
        <v>3.1095996703134015</v>
      </c>
      <c r="C24" s="132">
        <v>2.8391996989818011</v>
      </c>
      <c r="D24" s="132">
        <v>2.5687997276502008</v>
      </c>
      <c r="E24" s="132">
        <v>2.3795197477180809</v>
      </c>
      <c r="F24" s="132">
        <v>3.6233596158434418</v>
      </c>
      <c r="G24" s="132">
        <v>3.6503996129766021</v>
      </c>
      <c r="H24" s="132">
        <v>3.6233596158434418</v>
      </c>
      <c r="I24" s="132">
        <v>3.3563752230970829</v>
      </c>
      <c r="J24" s="132">
        <v>3.9064259441837015</v>
      </c>
      <c r="K24" s="132">
        <v>3.9406006971876923</v>
      </c>
      <c r="L24" s="132">
        <v>3.7641656457042827</v>
      </c>
      <c r="M24" s="132">
        <v>3.4971812529579238</v>
      </c>
      <c r="N24" s="132">
        <v>4.033359615843441</v>
      </c>
      <c r="O24" s="132">
        <v>4.0603996129766022</v>
      </c>
      <c r="P24" s="132">
        <v>4.033359615843441</v>
      </c>
      <c r="Q24" s="132">
        <v>3.7663752230970831</v>
      </c>
    </row>
    <row r="25" spans="1:17" x14ac:dyDescent="0.25">
      <c r="A25" s="50" t="s">
        <v>115</v>
      </c>
      <c r="B25" s="132">
        <v>2.9936269140950778</v>
      </c>
      <c r="C25" s="132">
        <v>2.7333115302607229</v>
      </c>
      <c r="D25" s="132">
        <v>2.4729961464263681</v>
      </c>
      <c r="E25" s="132">
        <v>2.2907753777423205</v>
      </c>
      <c r="F25" s="132">
        <v>3.4882261433803512</v>
      </c>
      <c r="G25" s="132">
        <v>3.5142576817637874</v>
      </c>
      <c r="H25" s="132">
        <v>3.4882261433803512</v>
      </c>
      <c r="I25" s="132">
        <v>3.2311989538681156</v>
      </c>
      <c r="J25" s="132">
        <v>3.7712924717206109</v>
      </c>
      <c r="K25" s="132">
        <v>3.8044587659748776</v>
      </c>
      <c r="L25" s="132">
        <v>3.6290321732411921</v>
      </c>
      <c r="M25" s="132">
        <v>3.3720049837289561</v>
      </c>
      <c r="N25" s="132">
        <v>3.8982261433803513</v>
      </c>
      <c r="O25" s="132">
        <v>3.9242576817637875</v>
      </c>
      <c r="P25" s="132">
        <v>3.8982261433803513</v>
      </c>
      <c r="Q25" s="132">
        <v>3.6411989538681153</v>
      </c>
    </row>
    <row r="26" spans="1:17" x14ac:dyDescent="0.25">
      <c r="A26" s="50" t="s">
        <v>116</v>
      </c>
      <c r="B26" s="132">
        <v>2.8527244375005316</v>
      </c>
      <c r="C26" s="132">
        <v>2.6046614429352677</v>
      </c>
      <c r="D26" s="132">
        <v>2.3565984483700038</v>
      </c>
      <c r="E26" s="132">
        <v>2.18295435217432</v>
      </c>
      <c r="F26" s="132">
        <v>3.324044127174532</v>
      </c>
      <c r="G26" s="132">
        <v>3.348850426631059</v>
      </c>
      <c r="H26" s="132">
        <v>3.324044127174532</v>
      </c>
      <c r="I26" s="132">
        <v>3.079114559909041</v>
      </c>
      <c r="J26" s="132">
        <v>3.6071104555147921</v>
      </c>
      <c r="K26" s="132">
        <v>3.6390515108421497</v>
      </c>
      <c r="L26" s="132">
        <v>3.4648501570353734</v>
      </c>
      <c r="M26" s="132">
        <v>3.2199205897698815</v>
      </c>
      <c r="N26" s="132">
        <v>3.7340441271745322</v>
      </c>
      <c r="O26" s="132">
        <v>3.7588504266310592</v>
      </c>
      <c r="P26" s="132">
        <v>3.7340441271745322</v>
      </c>
      <c r="Q26" s="132">
        <v>3.4891145599090407</v>
      </c>
    </row>
    <row r="27" spans="1:17" x14ac:dyDescent="0.25">
      <c r="A27" s="50" t="s">
        <v>117</v>
      </c>
      <c r="B27" s="132">
        <v>2.6868922405297631</v>
      </c>
      <c r="C27" s="132">
        <v>2.4532494370054354</v>
      </c>
      <c r="D27" s="132">
        <v>2.2196066334811078</v>
      </c>
      <c r="E27" s="132">
        <v>2.0560566710140793</v>
      </c>
      <c r="F27" s="132">
        <v>3.1308135672259843</v>
      </c>
      <c r="G27" s="132">
        <v>3.1541778475784179</v>
      </c>
      <c r="H27" s="132">
        <v>3.1308135672259843</v>
      </c>
      <c r="I27" s="132">
        <v>2.9001220412198596</v>
      </c>
      <c r="J27" s="132">
        <v>3.4138798955662444</v>
      </c>
      <c r="K27" s="132">
        <v>3.4443789317895082</v>
      </c>
      <c r="L27" s="132">
        <v>3.2716195970868256</v>
      </c>
      <c r="M27" s="132">
        <v>3.0409280710807005</v>
      </c>
      <c r="N27" s="132">
        <v>3.5408135672259844</v>
      </c>
      <c r="O27" s="132">
        <v>3.564177847578418</v>
      </c>
      <c r="P27" s="132">
        <v>3.5408135672259844</v>
      </c>
      <c r="Q27" s="132">
        <v>3.3101220412198602</v>
      </c>
    </row>
    <row r="28" spans="1:17" x14ac:dyDescent="0.25">
      <c r="A28" s="50" t="s">
        <v>118</v>
      </c>
      <c r="B28" s="132">
        <v>2.521060043558994</v>
      </c>
      <c r="C28" s="132">
        <v>2.3018374310756031</v>
      </c>
      <c r="D28" s="132">
        <v>2.0826148185922122</v>
      </c>
      <c r="E28" s="132">
        <v>1.929158989853839</v>
      </c>
      <c r="F28" s="132">
        <v>2.9375830072774365</v>
      </c>
      <c r="G28" s="132">
        <v>2.9595052685257759</v>
      </c>
      <c r="H28" s="132">
        <v>2.9375830072774365</v>
      </c>
      <c r="I28" s="132">
        <v>2.7211295225306786</v>
      </c>
      <c r="J28" s="132">
        <v>3.2206493356176962</v>
      </c>
      <c r="K28" s="132">
        <v>3.2497063527368661</v>
      </c>
      <c r="L28" s="132">
        <v>3.0783890371382774</v>
      </c>
      <c r="M28" s="132">
        <v>2.8619355523915195</v>
      </c>
      <c r="N28" s="132">
        <v>3.3475830072774366</v>
      </c>
      <c r="O28" s="132">
        <v>3.369505268525776</v>
      </c>
      <c r="P28" s="132">
        <v>3.3475830072774366</v>
      </c>
      <c r="Q28" s="132">
        <v>3.1311295225306788</v>
      </c>
    </row>
    <row r="29" spans="1:17" x14ac:dyDescent="0.25">
      <c r="A29" s="50" t="s">
        <v>119</v>
      </c>
      <c r="B29" s="132">
        <v>2.3552278465882255</v>
      </c>
      <c r="C29" s="132">
        <v>2.1504254251457708</v>
      </c>
      <c r="D29" s="132">
        <v>1.9456230037033162</v>
      </c>
      <c r="E29" s="132">
        <v>1.8022613086935984</v>
      </c>
      <c r="F29" s="132">
        <v>2.7443524473288892</v>
      </c>
      <c r="G29" s="132">
        <v>2.7648326894731348</v>
      </c>
      <c r="H29" s="132">
        <v>2.7443524473288892</v>
      </c>
      <c r="I29" s="132">
        <v>2.5421370038414972</v>
      </c>
      <c r="J29" s="132">
        <v>3.0274187756691484</v>
      </c>
      <c r="K29" s="132">
        <v>3.0550337736842246</v>
      </c>
      <c r="L29" s="132">
        <v>2.8851584771897296</v>
      </c>
      <c r="M29" s="132">
        <v>2.6829430337023386</v>
      </c>
      <c r="N29" s="132">
        <v>3.1543524473288889</v>
      </c>
      <c r="O29" s="132">
        <v>3.1748326894731349</v>
      </c>
      <c r="P29" s="132">
        <v>3.1543524473288889</v>
      </c>
      <c r="Q29" s="132">
        <v>2.9521370038414974</v>
      </c>
    </row>
    <row r="30" spans="1:17" x14ac:dyDescent="0.25">
      <c r="A30" s="50" t="s">
        <v>120</v>
      </c>
      <c r="B30" s="132">
        <v>2.2407437139346351</v>
      </c>
      <c r="C30" s="132">
        <v>2.0458964344620578</v>
      </c>
      <c r="D30" s="132">
        <v>1.8510491549894805</v>
      </c>
      <c r="E30" s="132">
        <v>1.714656059358677</v>
      </c>
      <c r="F30" s="132">
        <v>2.6109535449325314</v>
      </c>
      <c r="G30" s="132">
        <v>2.6304382728797893</v>
      </c>
      <c r="H30" s="132">
        <v>2.6109535449325314</v>
      </c>
      <c r="I30" s="132">
        <v>2.4185674942532924</v>
      </c>
      <c r="J30" s="132">
        <v>2.8940198732727906</v>
      </c>
      <c r="K30" s="132">
        <v>2.9206393570908791</v>
      </c>
      <c r="L30" s="132">
        <v>2.7517595747933719</v>
      </c>
      <c r="M30" s="132">
        <v>2.5593735241141333</v>
      </c>
      <c r="N30" s="132">
        <v>3.0209535449325311</v>
      </c>
      <c r="O30" s="132">
        <v>3.0404382728797894</v>
      </c>
      <c r="P30" s="132">
        <v>3.0209535449325311</v>
      </c>
      <c r="Q30" s="132">
        <v>2.8285674942532926</v>
      </c>
    </row>
    <row r="31" spans="1:17" x14ac:dyDescent="0.25">
      <c r="A31" s="50" t="s">
        <v>121</v>
      </c>
      <c r="B31" s="132">
        <v>2.1776076455982225</v>
      </c>
      <c r="C31" s="132">
        <v>1.9882504590244641</v>
      </c>
      <c r="D31" s="132">
        <v>1.798893272450705</v>
      </c>
      <c r="E31" s="132">
        <v>1.6663432418490745</v>
      </c>
      <c r="F31" s="132">
        <v>2.5373863000883636</v>
      </c>
      <c r="G31" s="132">
        <v>2.5563220187457398</v>
      </c>
      <c r="H31" s="132">
        <v>2.5373863000883636</v>
      </c>
      <c r="I31" s="132">
        <v>2.3504209937660638</v>
      </c>
      <c r="J31" s="132">
        <v>2.8204526284286233</v>
      </c>
      <c r="K31" s="132">
        <v>2.8465231029568301</v>
      </c>
      <c r="L31" s="132">
        <v>2.6781923299492045</v>
      </c>
      <c r="M31" s="132">
        <v>2.4912270236269047</v>
      </c>
      <c r="N31" s="132">
        <v>2.9473863000883638</v>
      </c>
      <c r="O31" s="132">
        <v>2.96632201874574</v>
      </c>
      <c r="P31" s="132">
        <v>2.9473863000883638</v>
      </c>
      <c r="Q31" s="132">
        <v>2.760420993766064</v>
      </c>
    </row>
    <row r="32" spans="1:17" x14ac:dyDescent="0.25">
      <c r="A32" s="50" t="s">
        <v>122</v>
      </c>
      <c r="B32" s="132">
        <v>2.1144715772618103</v>
      </c>
      <c r="C32" s="132">
        <v>1.9306044835868699</v>
      </c>
      <c r="D32" s="132">
        <v>1.7467373899119298</v>
      </c>
      <c r="E32" s="132">
        <v>1.6180304243394721</v>
      </c>
      <c r="F32" s="132">
        <v>2.4638190552441963</v>
      </c>
      <c r="G32" s="132">
        <v>2.4822057646116908</v>
      </c>
      <c r="H32" s="132">
        <v>2.4638190552441963</v>
      </c>
      <c r="I32" s="132">
        <v>2.2822744932788348</v>
      </c>
      <c r="J32" s="132">
        <v>2.746885383584456</v>
      </c>
      <c r="K32" s="132">
        <v>2.7724068488227807</v>
      </c>
      <c r="L32" s="132">
        <v>2.6046250851050372</v>
      </c>
      <c r="M32" s="132">
        <v>2.4230805231396757</v>
      </c>
      <c r="N32" s="132">
        <v>2.8738190552441965</v>
      </c>
      <c r="O32" s="132">
        <v>2.892205764611691</v>
      </c>
      <c r="P32" s="132">
        <v>2.8738190552441965</v>
      </c>
      <c r="Q32" s="132">
        <v>2.6922744932788349</v>
      </c>
    </row>
    <row r="33" spans="1:17" x14ac:dyDescent="0.25">
      <c r="A33" s="50" t="s">
        <v>123</v>
      </c>
      <c r="B33" s="132">
        <v>2.0513355089253977</v>
      </c>
      <c r="C33" s="132">
        <v>1.8729585081492761</v>
      </c>
      <c r="D33" s="132">
        <v>1.6945815073731545</v>
      </c>
      <c r="E33" s="132">
        <v>1.5697176068298695</v>
      </c>
      <c r="F33" s="132">
        <v>2.390251810400029</v>
      </c>
      <c r="G33" s="132">
        <v>2.408089510477641</v>
      </c>
      <c r="H33" s="132">
        <v>2.390251810400029</v>
      </c>
      <c r="I33" s="132">
        <v>2.2141279927916062</v>
      </c>
      <c r="J33" s="132">
        <v>2.6733181387402887</v>
      </c>
      <c r="K33" s="132">
        <v>2.6982905946887312</v>
      </c>
      <c r="L33" s="132">
        <v>2.5310578402608699</v>
      </c>
      <c r="M33" s="132">
        <v>2.3549340226524471</v>
      </c>
      <c r="N33" s="132">
        <v>2.8002518104000291</v>
      </c>
      <c r="O33" s="132">
        <v>2.8180895104776411</v>
      </c>
      <c r="P33" s="132">
        <v>2.8002518104000291</v>
      </c>
      <c r="Q33" s="132">
        <v>2.6241279927916064</v>
      </c>
    </row>
    <row r="34" spans="1:17" x14ac:dyDescent="0.25">
      <c r="A34" s="50" t="s">
        <v>124</v>
      </c>
      <c r="B34" s="132">
        <v>1.9992515602588083</v>
      </c>
      <c r="C34" s="132">
        <v>1.8254035984971726</v>
      </c>
      <c r="D34" s="132">
        <v>1.6515556367355371</v>
      </c>
      <c r="E34" s="132">
        <v>1.5298620635023925</v>
      </c>
      <c r="F34" s="132">
        <v>2.3295626876059159</v>
      </c>
      <c r="G34" s="132">
        <v>2.3469474837820794</v>
      </c>
      <c r="H34" s="132">
        <v>2.3295626876059159</v>
      </c>
      <c r="I34" s="132">
        <v>2.1579107000981121</v>
      </c>
      <c r="J34" s="132">
        <v>2.612629015946176</v>
      </c>
      <c r="K34" s="132">
        <v>2.6371485679931697</v>
      </c>
      <c r="L34" s="132">
        <v>2.4703687174667568</v>
      </c>
      <c r="M34" s="132">
        <v>2.298716729958953</v>
      </c>
      <c r="N34" s="132">
        <v>2.739562687605916</v>
      </c>
      <c r="O34" s="132">
        <v>2.7569474837820795</v>
      </c>
      <c r="P34" s="132">
        <v>2.739562687605916</v>
      </c>
      <c r="Q34" s="132">
        <v>2.5679107000981123</v>
      </c>
    </row>
    <row r="35" spans="1:17" x14ac:dyDescent="0.25">
      <c r="A35" s="50" t="s">
        <v>125</v>
      </c>
      <c r="B35" s="132">
        <v>1.958219731262042</v>
      </c>
      <c r="C35" s="132">
        <v>1.78793975463056</v>
      </c>
      <c r="D35" s="132">
        <v>1.6176597779990778</v>
      </c>
      <c r="E35" s="132">
        <v>1.4984637943570407</v>
      </c>
      <c r="F35" s="132">
        <v>2.2817516868618579</v>
      </c>
      <c r="G35" s="132">
        <v>2.2987796845250061</v>
      </c>
      <c r="H35" s="132">
        <v>2.2817516868618579</v>
      </c>
      <c r="I35" s="132">
        <v>2.113622615198353</v>
      </c>
      <c r="J35" s="132">
        <v>2.5648180152021176</v>
      </c>
      <c r="K35" s="132">
        <v>2.5889807687360964</v>
      </c>
      <c r="L35" s="132">
        <v>2.4225577167226984</v>
      </c>
      <c r="M35" s="132">
        <v>2.2544286450591935</v>
      </c>
      <c r="N35" s="132">
        <v>2.6917516868618581</v>
      </c>
      <c r="O35" s="132">
        <v>2.7087796845250063</v>
      </c>
      <c r="P35" s="132">
        <v>2.6917516868618581</v>
      </c>
      <c r="Q35" s="132">
        <v>2.5236226151983532</v>
      </c>
    </row>
    <row r="36" spans="1:17" x14ac:dyDescent="0.25">
      <c r="A36" s="50" t="s">
        <v>126</v>
      </c>
      <c r="B36" s="132">
        <v>1.9171879022652754</v>
      </c>
      <c r="C36" s="132">
        <v>1.7504759107639472</v>
      </c>
      <c r="D36" s="132">
        <v>1.5837639192626185</v>
      </c>
      <c r="E36" s="132">
        <v>1.4670655252116891</v>
      </c>
      <c r="F36" s="132">
        <v>2.2339406861177995</v>
      </c>
      <c r="G36" s="132">
        <v>2.250611885267932</v>
      </c>
      <c r="H36" s="132">
        <v>2.2339406861177995</v>
      </c>
      <c r="I36" s="132">
        <v>2.0693345302985939</v>
      </c>
      <c r="J36" s="132">
        <v>2.5170070144580592</v>
      </c>
      <c r="K36" s="132">
        <v>2.5408129694790222</v>
      </c>
      <c r="L36" s="132">
        <v>2.37474671597864</v>
      </c>
      <c r="M36" s="132">
        <v>2.2101405601594344</v>
      </c>
      <c r="N36" s="132">
        <v>2.6439406861177996</v>
      </c>
      <c r="O36" s="132">
        <v>2.6606118852679321</v>
      </c>
      <c r="P36" s="132">
        <v>2.6439406861177996</v>
      </c>
      <c r="Q36" s="132">
        <v>2.4793345302985941</v>
      </c>
    </row>
    <row r="37" spans="1:17" x14ac:dyDescent="0.25">
      <c r="A37" s="50" t="s">
        <v>127</v>
      </c>
      <c r="B37" s="132">
        <v>1.876156073268509</v>
      </c>
      <c r="C37" s="132">
        <v>1.7130120668973341</v>
      </c>
      <c r="D37" s="132">
        <v>1.5498680605261592</v>
      </c>
      <c r="E37" s="132">
        <v>1.4356672560663373</v>
      </c>
      <c r="F37" s="132">
        <v>2.1861296853737411</v>
      </c>
      <c r="G37" s="132">
        <v>2.2024440860108587</v>
      </c>
      <c r="H37" s="132">
        <v>2.1861296853737411</v>
      </c>
      <c r="I37" s="132">
        <v>2.0250464453988344</v>
      </c>
      <c r="J37" s="132">
        <v>2.4691960137140003</v>
      </c>
      <c r="K37" s="132">
        <v>2.492645170221949</v>
      </c>
      <c r="L37" s="132">
        <v>2.326935715234582</v>
      </c>
      <c r="M37" s="132">
        <v>2.1658524752596753</v>
      </c>
      <c r="N37" s="132">
        <v>2.5961296853737412</v>
      </c>
      <c r="O37" s="132">
        <v>2.6124440860108589</v>
      </c>
      <c r="P37" s="132">
        <v>2.5961296853737412</v>
      </c>
      <c r="Q37" s="132">
        <v>2.4350464453988345</v>
      </c>
    </row>
    <row r="38" spans="1:17" x14ac:dyDescent="0.25">
      <c r="A38" s="50" t="s">
        <v>128</v>
      </c>
      <c r="B38" s="132">
        <v>1.8006103500782566</v>
      </c>
      <c r="C38" s="132">
        <v>1.6440355370279733</v>
      </c>
      <c r="D38" s="132">
        <v>1.48746072397769</v>
      </c>
      <c r="E38" s="132">
        <v>1.3778583548424921</v>
      </c>
      <c r="F38" s="132">
        <v>2.0981024948737947</v>
      </c>
      <c r="G38" s="132">
        <v>2.1137599761788235</v>
      </c>
      <c r="H38" s="132">
        <v>2.0981024948737947</v>
      </c>
      <c r="I38" s="132">
        <v>1.9435054689357263</v>
      </c>
      <c r="J38" s="132">
        <v>2.3811688232140544</v>
      </c>
      <c r="K38" s="132">
        <v>2.4039610603899133</v>
      </c>
      <c r="L38" s="132">
        <v>2.2389085247346356</v>
      </c>
      <c r="M38" s="132">
        <v>2.0843114987965672</v>
      </c>
      <c r="N38" s="132">
        <v>2.5081024948737949</v>
      </c>
      <c r="O38" s="132">
        <v>2.5237599761788232</v>
      </c>
      <c r="P38" s="132">
        <v>2.5081024948737949</v>
      </c>
      <c r="Q38" s="132">
        <v>2.3535054689357264</v>
      </c>
    </row>
    <row r="39" spans="1:17" x14ac:dyDescent="0.25">
      <c r="A39" s="50" t="s">
        <v>129</v>
      </c>
      <c r="B39" s="132">
        <v>1.6905507326945184</v>
      </c>
      <c r="C39" s="132">
        <v>1.5435463211558647</v>
      </c>
      <c r="D39" s="132">
        <v>1.3965419096172109</v>
      </c>
      <c r="E39" s="132">
        <v>1.2936388215401533</v>
      </c>
      <c r="F39" s="132">
        <v>1.9698591146179609</v>
      </c>
      <c r="G39" s="132">
        <v>1.9845595557718263</v>
      </c>
      <c r="H39" s="132">
        <v>1.9698591146179609</v>
      </c>
      <c r="I39" s="132">
        <v>1.8247116009092696</v>
      </c>
      <c r="J39" s="132">
        <v>2.2529254429582206</v>
      </c>
      <c r="K39" s="132">
        <v>2.2747606399829166</v>
      </c>
      <c r="L39" s="132">
        <v>2.1106651444788018</v>
      </c>
      <c r="M39" s="132">
        <v>1.9655176307701103</v>
      </c>
      <c r="N39" s="132">
        <v>2.3798591146179611</v>
      </c>
      <c r="O39" s="132">
        <v>2.394559555771826</v>
      </c>
      <c r="P39" s="132">
        <v>2.3798591146179611</v>
      </c>
      <c r="Q39" s="132">
        <v>2.2347116009092698</v>
      </c>
    </row>
    <row r="40" spans="1:17" x14ac:dyDescent="0.25">
      <c r="A40" s="50" t="s">
        <v>130</v>
      </c>
      <c r="B40" s="132">
        <v>1.5804911153107803</v>
      </c>
      <c r="C40" s="132">
        <v>1.443057105283756</v>
      </c>
      <c r="D40" s="132">
        <v>1.3056230952567316</v>
      </c>
      <c r="E40" s="132">
        <v>1.2094192882378147</v>
      </c>
      <c r="F40" s="132">
        <v>1.8416157343621269</v>
      </c>
      <c r="G40" s="132">
        <v>1.8553591353648295</v>
      </c>
      <c r="H40" s="132">
        <v>1.8416157343621269</v>
      </c>
      <c r="I40" s="132">
        <v>1.7059177328828126</v>
      </c>
      <c r="J40" s="132">
        <v>2.1246820627023864</v>
      </c>
      <c r="K40" s="132">
        <v>2.1455602195759194</v>
      </c>
      <c r="L40" s="132">
        <v>1.9824217642229678</v>
      </c>
      <c r="M40" s="132">
        <v>1.8467237627436537</v>
      </c>
      <c r="N40" s="132">
        <v>2.2516157343621268</v>
      </c>
      <c r="O40" s="132">
        <v>2.2653591353648292</v>
      </c>
      <c r="P40" s="132">
        <v>2.2516157343621268</v>
      </c>
      <c r="Q40" s="132">
        <v>2.1159177328828127</v>
      </c>
    </row>
    <row r="41" spans="1:17" x14ac:dyDescent="0.25">
      <c r="A41" s="50" t="s">
        <v>131</v>
      </c>
      <c r="B41" s="132">
        <v>1.4704314979270423</v>
      </c>
      <c r="C41" s="132">
        <v>1.3425678894116473</v>
      </c>
      <c r="D41" s="132">
        <v>1.2147042808962523</v>
      </c>
      <c r="E41" s="132">
        <v>1.125199754935476</v>
      </c>
      <c r="F41" s="132">
        <v>1.7133723541062928</v>
      </c>
      <c r="G41" s="132">
        <v>1.7261587149578324</v>
      </c>
      <c r="H41" s="132">
        <v>1.7133723541062928</v>
      </c>
      <c r="I41" s="132">
        <v>1.5871238648563559</v>
      </c>
      <c r="J41" s="132">
        <v>1.9964386824465523</v>
      </c>
      <c r="K41" s="132">
        <v>2.0163597991689226</v>
      </c>
      <c r="L41" s="132">
        <v>1.8541783839671337</v>
      </c>
      <c r="M41" s="132">
        <v>1.7279298947171966</v>
      </c>
      <c r="N41" s="132">
        <v>2.123372354106293</v>
      </c>
      <c r="O41" s="132">
        <v>2.1361587149578325</v>
      </c>
      <c r="P41" s="132">
        <v>2.123372354106293</v>
      </c>
      <c r="Q41" s="132">
        <v>1.9971238648563558</v>
      </c>
    </row>
    <row r="42" spans="1:17" x14ac:dyDescent="0.25">
      <c r="A42" s="50" t="s">
        <v>132</v>
      </c>
      <c r="B42" s="132">
        <v>1.4013176096432705</v>
      </c>
      <c r="C42" s="132">
        <v>1.2794639044568992</v>
      </c>
      <c r="D42" s="132">
        <v>1.1576101992705277</v>
      </c>
      <c r="E42" s="132">
        <v>1.0723126056400678</v>
      </c>
      <c r="F42" s="132">
        <v>1.632839649497376</v>
      </c>
      <c r="G42" s="132">
        <v>1.6450250200160133</v>
      </c>
      <c r="H42" s="132">
        <v>1.632839649497376</v>
      </c>
      <c r="I42" s="132">
        <v>1.512525149008096</v>
      </c>
      <c r="J42" s="132">
        <v>1.9159059778376355</v>
      </c>
      <c r="K42" s="132">
        <v>1.9352261042271035</v>
      </c>
      <c r="L42" s="132">
        <v>1.7736456793582169</v>
      </c>
      <c r="M42" s="132">
        <v>1.6533311788689369</v>
      </c>
      <c r="N42" s="132">
        <v>2.0428396494973762</v>
      </c>
      <c r="O42" s="132">
        <v>2.0550250200160134</v>
      </c>
      <c r="P42" s="132">
        <v>2.0428396494973762</v>
      </c>
      <c r="Q42" s="132">
        <v>1.9225251490080959</v>
      </c>
    </row>
    <row r="43" spans="1:17" x14ac:dyDescent="0.25">
      <c r="A43" s="50" t="s">
        <v>133</v>
      </c>
      <c r="B43" s="132">
        <v>1.3731494504594648</v>
      </c>
      <c r="C43" s="132">
        <v>1.2537451504195114</v>
      </c>
      <c r="D43" s="132">
        <v>1.1343408503795578</v>
      </c>
      <c r="E43" s="132">
        <v>1.0507578403515905</v>
      </c>
      <c r="F43" s="132">
        <v>1.6000176205353764</v>
      </c>
      <c r="G43" s="132">
        <v>1.6119580505393718</v>
      </c>
      <c r="H43" s="132">
        <v>1.6000176205353764</v>
      </c>
      <c r="I43" s="132">
        <v>1.482121585338033</v>
      </c>
      <c r="J43" s="132">
        <v>1.8830839488756361</v>
      </c>
      <c r="K43" s="132">
        <v>1.9021591347504616</v>
      </c>
      <c r="L43" s="132">
        <v>1.7408236503962173</v>
      </c>
      <c r="M43" s="132">
        <v>1.6229276151988741</v>
      </c>
      <c r="N43" s="132">
        <v>2.0100176205353764</v>
      </c>
      <c r="O43" s="132">
        <v>2.0219580505393715</v>
      </c>
      <c r="P43" s="132">
        <v>2.0100176205353764</v>
      </c>
      <c r="Q43" s="132">
        <v>1.8921215853380331</v>
      </c>
    </row>
    <row r="44" spans="1:17" x14ac:dyDescent="0.25">
      <c r="A44" s="50" t="s">
        <v>134</v>
      </c>
      <c r="B44" s="132">
        <v>1.3449812912756591</v>
      </c>
      <c r="C44" s="132">
        <v>1.2280263963821234</v>
      </c>
      <c r="D44" s="132">
        <v>1.1110715014885879</v>
      </c>
      <c r="E44" s="132">
        <v>1.0292030750631131</v>
      </c>
      <c r="F44" s="132">
        <v>1.5671955915733768</v>
      </c>
      <c r="G44" s="132">
        <v>1.5788910810627304</v>
      </c>
      <c r="H44" s="132">
        <v>1.5671955915733768</v>
      </c>
      <c r="I44" s="132">
        <v>1.4517180216679701</v>
      </c>
      <c r="J44" s="132">
        <v>1.8502619199136365</v>
      </c>
      <c r="K44" s="132">
        <v>1.8690921652738206</v>
      </c>
      <c r="L44" s="132">
        <v>1.7080016214342177</v>
      </c>
      <c r="M44" s="132">
        <v>1.592524051528811</v>
      </c>
      <c r="N44" s="132">
        <v>1.9771955915733765</v>
      </c>
      <c r="O44" s="132">
        <v>1.9888910810627303</v>
      </c>
      <c r="P44" s="132">
        <v>1.9771955915733765</v>
      </c>
      <c r="Q44" s="132">
        <v>1.8617180216679701</v>
      </c>
    </row>
    <row r="45" spans="1:17" x14ac:dyDescent="0.25">
      <c r="A45" s="50" t="s">
        <v>135</v>
      </c>
      <c r="B45" s="132">
        <v>1.3168131320918535</v>
      </c>
      <c r="C45" s="132">
        <v>1.2023076423447356</v>
      </c>
      <c r="D45" s="132">
        <v>1.087802152597618</v>
      </c>
      <c r="E45" s="132">
        <v>1.0076483097746358</v>
      </c>
      <c r="F45" s="132">
        <v>1.5343735626113773</v>
      </c>
      <c r="G45" s="132">
        <v>1.5458241115860889</v>
      </c>
      <c r="H45" s="132">
        <v>1.5343735626113773</v>
      </c>
      <c r="I45" s="132">
        <v>1.4213144579979073</v>
      </c>
      <c r="J45" s="132">
        <v>1.8174398909516367</v>
      </c>
      <c r="K45" s="132">
        <v>1.8360251957971787</v>
      </c>
      <c r="L45" s="132">
        <v>1.6751795924722181</v>
      </c>
      <c r="M45" s="132">
        <v>1.5621204878587482</v>
      </c>
      <c r="N45" s="132">
        <v>1.9443735626113772</v>
      </c>
      <c r="O45" s="132">
        <v>1.9558241115860888</v>
      </c>
      <c r="P45" s="132">
        <v>1.9443735626113772</v>
      </c>
      <c r="Q45" s="132">
        <v>1.8313144579979073</v>
      </c>
    </row>
    <row r="46" spans="1:17" x14ac:dyDescent="0.25">
      <c r="A46" s="50" t="s">
        <v>136</v>
      </c>
      <c r="B46" s="132">
        <v>1.2836379209374569</v>
      </c>
      <c r="C46" s="132">
        <v>1.1720172321602866</v>
      </c>
      <c r="D46" s="132">
        <v>1.0603965433831164</v>
      </c>
      <c r="E46" s="132">
        <v>0.98226206123909743</v>
      </c>
      <c r="F46" s="132">
        <v>1.4957172296140802</v>
      </c>
      <c r="G46" s="132">
        <v>1.5068792984917971</v>
      </c>
      <c r="H46" s="132">
        <v>1.4957172296140802</v>
      </c>
      <c r="I46" s="132">
        <v>1.3855064863793587</v>
      </c>
      <c r="J46" s="132">
        <v>1.7787835579543398</v>
      </c>
      <c r="K46" s="132">
        <v>1.7970803827028872</v>
      </c>
      <c r="L46" s="132">
        <v>1.6365232594749211</v>
      </c>
      <c r="M46" s="132">
        <v>1.5263125162401994</v>
      </c>
      <c r="N46" s="132">
        <v>1.9057172296140801</v>
      </c>
      <c r="O46" s="132">
        <v>1.9168792984917971</v>
      </c>
      <c r="P46" s="132">
        <v>1.9057172296140801</v>
      </c>
      <c r="Q46" s="132">
        <v>1.7955064863793586</v>
      </c>
    </row>
    <row r="47" spans="1:17" x14ac:dyDescent="0.25">
      <c r="A47" s="50" t="s">
        <v>137</v>
      </c>
      <c r="B47" s="132">
        <v>1.2454556578124691</v>
      </c>
      <c r="C47" s="132">
        <v>1.1371551658287762</v>
      </c>
      <c r="D47" s="132">
        <v>1.0288546738450832</v>
      </c>
      <c r="E47" s="132">
        <v>0.95304432945649808</v>
      </c>
      <c r="F47" s="132">
        <v>1.4512265925814858</v>
      </c>
      <c r="G47" s="132">
        <v>1.4620566417798551</v>
      </c>
      <c r="H47" s="132">
        <v>1.4512265925814858</v>
      </c>
      <c r="I47" s="132">
        <v>1.3442941068123238</v>
      </c>
      <c r="J47" s="132">
        <v>1.7342929209217455</v>
      </c>
      <c r="K47" s="132">
        <v>1.7522577259909453</v>
      </c>
      <c r="L47" s="132">
        <v>1.5920326224423267</v>
      </c>
      <c r="M47" s="132">
        <v>1.4851001366731647</v>
      </c>
      <c r="N47" s="132">
        <v>1.8612265925814857</v>
      </c>
      <c r="O47" s="132">
        <v>1.8720566417798552</v>
      </c>
      <c r="P47" s="132">
        <v>1.8612265925814857</v>
      </c>
      <c r="Q47" s="132">
        <v>1.7542941068123237</v>
      </c>
    </row>
    <row r="48" spans="1:17" x14ac:dyDescent="0.25">
      <c r="A48" s="50" t="s">
        <v>138</v>
      </c>
      <c r="B48" s="132">
        <v>1.2072733946874816</v>
      </c>
      <c r="C48" s="132">
        <v>1.1022930994972657</v>
      </c>
      <c r="D48" s="132">
        <v>0.99731280430704994</v>
      </c>
      <c r="E48" s="132">
        <v>0.92382659767389896</v>
      </c>
      <c r="F48" s="132">
        <v>1.4067359555488914</v>
      </c>
      <c r="G48" s="132">
        <v>1.417233985067913</v>
      </c>
      <c r="H48" s="132">
        <v>1.4067359555488914</v>
      </c>
      <c r="I48" s="132">
        <v>1.303081727245289</v>
      </c>
      <c r="J48" s="132">
        <v>1.6898022838891511</v>
      </c>
      <c r="K48" s="132">
        <v>1.7074350692790032</v>
      </c>
      <c r="L48" s="132">
        <v>1.5475419854097325</v>
      </c>
      <c r="M48" s="132">
        <v>1.4438877571061299</v>
      </c>
      <c r="N48" s="132">
        <v>1.8167359555488916</v>
      </c>
      <c r="O48" s="132">
        <v>1.8272339850679131</v>
      </c>
      <c r="P48" s="132">
        <v>1.8167359555488916</v>
      </c>
      <c r="Q48" s="132">
        <v>1.713081727245289</v>
      </c>
    </row>
    <row r="49" spans="1:17" x14ac:dyDescent="0.25">
      <c r="A49" s="50" t="s">
        <v>139</v>
      </c>
      <c r="B49" s="132">
        <v>1.1690911315624937</v>
      </c>
      <c r="C49" s="132">
        <v>1.0674310331657553</v>
      </c>
      <c r="D49" s="132">
        <v>0.96577093476901654</v>
      </c>
      <c r="E49" s="132">
        <v>0.89460886589129962</v>
      </c>
      <c r="F49" s="132">
        <v>1.3622453185162973</v>
      </c>
      <c r="G49" s="132">
        <v>1.3724113283559711</v>
      </c>
      <c r="H49" s="132">
        <v>1.3622453185162973</v>
      </c>
      <c r="I49" s="132">
        <v>1.2618693476782541</v>
      </c>
      <c r="J49" s="132">
        <v>1.6453116468565567</v>
      </c>
      <c r="K49" s="132">
        <v>1.6626124125670612</v>
      </c>
      <c r="L49" s="132">
        <v>1.5030513483771382</v>
      </c>
      <c r="M49" s="132">
        <v>1.4026753775390952</v>
      </c>
      <c r="N49" s="132">
        <v>1.7722453185162972</v>
      </c>
      <c r="O49" s="132">
        <v>1.782411328355971</v>
      </c>
      <c r="P49" s="132">
        <v>1.7722453185162972</v>
      </c>
      <c r="Q49" s="132">
        <v>1.671869347678254</v>
      </c>
    </row>
    <row r="50" spans="1:17" x14ac:dyDescent="0.25">
      <c r="A50" s="50" t="s">
        <v>140</v>
      </c>
      <c r="B50" s="132">
        <v>1.1249999999999998</v>
      </c>
      <c r="C50" s="132">
        <v>1.0250000000000001</v>
      </c>
      <c r="D50" s="132">
        <v>0.93749999999999989</v>
      </c>
      <c r="E50" s="132">
        <v>0.86250000000000004</v>
      </c>
      <c r="F50" s="132">
        <v>1.32</v>
      </c>
      <c r="G50" s="132">
        <v>1.32</v>
      </c>
      <c r="H50" s="132">
        <v>1.3150000000000002</v>
      </c>
      <c r="I50" s="132">
        <v>1.2101640866873065</v>
      </c>
      <c r="J50" s="132">
        <v>1.6030663283402595</v>
      </c>
      <c r="K50" s="132">
        <v>1.6102010842110903</v>
      </c>
      <c r="L50" s="132">
        <v>1.4558060298608411</v>
      </c>
      <c r="M50" s="132">
        <v>1.3509701165481474</v>
      </c>
      <c r="N50" s="132">
        <v>1.73</v>
      </c>
      <c r="O50" s="132">
        <v>1.73</v>
      </c>
      <c r="P50" s="132">
        <v>1.7250000000000001</v>
      </c>
      <c r="Q50" s="132">
        <v>1.6201640866873064</v>
      </c>
    </row>
    <row r="51" spans="1:17" x14ac:dyDescent="0.25">
      <c r="A51" s="50" t="s">
        <v>141</v>
      </c>
      <c r="B51" s="132">
        <v>1.075</v>
      </c>
      <c r="C51" s="132">
        <v>0.97499999999999998</v>
      </c>
      <c r="D51" s="132">
        <v>0.91249999999999998</v>
      </c>
      <c r="E51" s="132">
        <v>0.82750000000000001</v>
      </c>
      <c r="F51" s="132">
        <v>1.28</v>
      </c>
      <c r="G51" s="132">
        <v>1.26</v>
      </c>
      <c r="H51" s="132">
        <v>1.2650000000000001</v>
      </c>
      <c r="I51" s="132">
        <v>1.1479659442724459</v>
      </c>
      <c r="J51" s="132">
        <v>1.5630663283402595</v>
      </c>
      <c r="K51" s="132">
        <v>1.5502010842110903</v>
      </c>
      <c r="L51" s="132">
        <v>1.405806029860841</v>
      </c>
      <c r="M51" s="132">
        <v>1.2887719741332868</v>
      </c>
      <c r="N51" s="132">
        <v>1.69</v>
      </c>
      <c r="O51" s="132">
        <v>1.6700000000000002</v>
      </c>
      <c r="P51" s="132">
        <v>1.6749999999999998</v>
      </c>
      <c r="Q51" s="132">
        <v>1.5579659442724458</v>
      </c>
    </row>
    <row r="52" spans="1:17" x14ac:dyDescent="0.25">
      <c r="A52" s="50" t="s">
        <v>142</v>
      </c>
      <c r="B52" s="132">
        <v>1.0249999999999999</v>
      </c>
      <c r="C52" s="132">
        <v>0.92500000000000004</v>
      </c>
      <c r="D52" s="132">
        <v>0.88749999999999996</v>
      </c>
      <c r="E52" s="132">
        <v>0.79249999999999998</v>
      </c>
      <c r="F52" s="132">
        <v>1.24</v>
      </c>
      <c r="G52" s="132">
        <v>1.2000000000000002</v>
      </c>
      <c r="H52" s="132">
        <v>1.2149999999999999</v>
      </c>
      <c r="I52" s="132">
        <v>1.0857678018575851</v>
      </c>
      <c r="J52" s="132">
        <v>1.5230663283402595</v>
      </c>
      <c r="K52" s="132">
        <v>1.4902010842110902</v>
      </c>
      <c r="L52" s="132">
        <v>1.3558060298608408</v>
      </c>
      <c r="M52" s="132">
        <v>1.226573831718426</v>
      </c>
      <c r="N52" s="132">
        <v>1.65</v>
      </c>
      <c r="O52" s="132">
        <v>1.6099999999999999</v>
      </c>
      <c r="P52" s="132">
        <v>1.625</v>
      </c>
      <c r="Q52" s="132">
        <v>1.4957678018575851</v>
      </c>
    </row>
    <row r="53" spans="1:17" x14ac:dyDescent="0.25">
      <c r="A53" s="50" t="s">
        <v>143</v>
      </c>
      <c r="B53" s="132">
        <v>0.97499999999999987</v>
      </c>
      <c r="C53" s="132">
        <v>0.875</v>
      </c>
      <c r="D53" s="132">
        <v>0.86250000000000004</v>
      </c>
      <c r="E53" s="132">
        <v>0.75749999999999995</v>
      </c>
      <c r="F53" s="132">
        <v>1.2</v>
      </c>
      <c r="G53" s="132">
        <v>1.1400000000000001</v>
      </c>
      <c r="H53" s="132">
        <v>1.165</v>
      </c>
      <c r="I53" s="132">
        <v>1.0235696594427244</v>
      </c>
      <c r="J53" s="132">
        <v>1.4830663283402594</v>
      </c>
      <c r="K53" s="132">
        <v>1.4302010842110902</v>
      </c>
      <c r="L53" s="132">
        <v>1.3058060298608407</v>
      </c>
      <c r="M53" s="132">
        <v>1.1643756893035655</v>
      </c>
      <c r="N53" s="132">
        <v>1.6099999999999999</v>
      </c>
      <c r="O53" s="132">
        <v>1.55</v>
      </c>
      <c r="P53" s="132">
        <v>1.5749999999999997</v>
      </c>
      <c r="Q53" s="132">
        <v>1.4335696594427245</v>
      </c>
    </row>
    <row r="54" spans="1:17" x14ac:dyDescent="0.25">
      <c r="A54" s="50" t="s">
        <v>144</v>
      </c>
      <c r="B54" s="132">
        <v>0.95499999999999996</v>
      </c>
      <c r="C54" s="132">
        <v>0.85625000000000007</v>
      </c>
      <c r="D54" s="132">
        <v>0.85625000000000007</v>
      </c>
      <c r="E54" s="132">
        <v>0.745</v>
      </c>
      <c r="F54" s="132">
        <v>1.17625</v>
      </c>
      <c r="G54" s="132">
        <v>1.11625</v>
      </c>
      <c r="H54" s="132">
        <v>1.1475</v>
      </c>
      <c r="I54" s="132">
        <v>0.99841176470588233</v>
      </c>
      <c r="J54" s="132">
        <v>1.4593163283402595</v>
      </c>
      <c r="K54" s="132">
        <v>1.40645108421109</v>
      </c>
      <c r="L54" s="132">
        <v>1.2883060298608409</v>
      </c>
      <c r="M54" s="132">
        <v>1.1392177945667235</v>
      </c>
      <c r="N54" s="132">
        <v>1.5862499999999999</v>
      </c>
      <c r="O54" s="132">
        <v>1.5262500000000001</v>
      </c>
      <c r="P54" s="132">
        <v>1.5574999999999997</v>
      </c>
      <c r="Q54" s="132">
        <v>1.4084117647058823</v>
      </c>
    </row>
    <row r="55" spans="1:17" x14ac:dyDescent="0.25">
      <c r="A55" s="50" t="s">
        <v>145</v>
      </c>
      <c r="B55" s="132">
        <v>0.96499999999999997</v>
      </c>
      <c r="C55" s="132">
        <v>0.86875000000000002</v>
      </c>
      <c r="D55" s="132">
        <v>0.86875000000000002</v>
      </c>
      <c r="E55" s="132">
        <v>0.755</v>
      </c>
      <c r="F55" s="132">
        <v>1.16875</v>
      </c>
      <c r="G55" s="132">
        <v>1.1287500000000001</v>
      </c>
      <c r="H55" s="132">
        <v>1.1624999999999999</v>
      </c>
      <c r="I55" s="132">
        <v>1.0102941176470588</v>
      </c>
      <c r="J55" s="132">
        <v>1.4518163283402594</v>
      </c>
      <c r="K55" s="132">
        <v>1.4189510842110902</v>
      </c>
      <c r="L55" s="132">
        <v>1.303306029860841</v>
      </c>
      <c r="M55" s="132">
        <v>1.1511001475078997</v>
      </c>
      <c r="N55" s="132">
        <v>1.5787499999999999</v>
      </c>
      <c r="O55" s="132">
        <v>1.5387499999999998</v>
      </c>
      <c r="P55" s="132">
        <v>1.5724999999999998</v>
      </c>
      <c r="Q55" s="132">
        <v>1.4202941176470589</v>
      </c>
    </row>
    <row r="56" spans="1:17" x14ac:dyDescent="0.25">
      <c r="A56" s="50" t="s">
        <v>146</v>
      </c>
      <c r="B56" s="132">
        <v>0.97499999999999998</v>
      </c>
      <c r="C56" s="132">
        <v>0.88124999999999998</v>
      </c>
      <c r="D56" s="132">
        <v>0.88124999999999998</v>
      </c>
      <c r="E56" s="132">
        <v>0.76500000000000001</v>
      </c>
      <c r="F56" s="132">
        <v>1.1612499999999999</v>
      </c>
      <c r="G56" s="132">
        <v>1.1412499999999999</v>
      </c>
      <c r="H56" s="132">
        <v>1.1775</v>
      </c>
      <c r="I56" s="132">
        <v>1.0221764705882352</v>
      </c>
      <c r="J56" s="132">
        <v>1.4443163283402596</v>
      </c>
      <c r="K56" s="132">
        <v>1.4314510842110899</v>
      </c>
      <c r="L56" s="132">
        <v>1.3183060298608407</v>
      </c>
      <c r="M56" s="132">
        <v>1.1629825004490764</v>
      </c>
      <c r="N56" s="132">
        <v>1.5712499999999998</v>
      </c>
      <c r="O56" s="132">
        <v>1.55125</v>
      </c>
      <c r="P56" s="132">
        <v>1.5874999999999999</v>
      </c>
      <c r="Q56" s="132">
        <v>1.4321764705882352</v>
      </c>
    </row>
    <row r="57" spans="1:17" x14ac:dyDescent="0.25">
      <c r="A57" s="50" t="s">
        <v>147</v>
      </c>
      <c r="B57" s="132">
        <v>0.98499999999999999</v>
      </c>
      <c r="C57" s="132">
        <v>0.89374999999999993</v>
      </c>
      <c r="D57" s="132">
        <v>0.89374999999999993</v>
      </c>
      <c r="E57" s="132">
        <v>0.77500000000000002</v>
      </c>
      <c r="F57" s="132">
        <v>1.1537499999999998</v>
      </c>
      <c r="G57" s="132">
        <v>1.1537499999999998</v>
      </c>
      <c r="H57" s="132">
        <v>1.1925000000000001</v>
      </c>
      <c r="I57" s="132">
        <v>1.0340588235294117</v>
      </c>
      <c r="J57" s="132">
        <v>1.4368163283402595</v>
      </c>
      <c r="K57" s="132">
        <v>1.4439510842110901</v>
      </c>
      <c r="L57" s="132">
        <v>1.3333060298608408</v>
      </c>
      <c r="M57" s="132">
        <v>1.1748648533902526</v>
      </c>
      <c r="N57" s="132">
        <v>1.5637499999999998</v>
      </c>
      <c r="O57" s="132">
        <v>1.5637499999999998</v>
      </c>
      <c r="P57" s="132">
        <v>1.6025</v>
      </c>
      <c r="Q57" s="132">
        <v>1.4440588235294118</v>
      </c>
    </row>
    <row r="58" spans="1:17" x14ac:dyDescent="0.25">
      <c r="A58" s="50" t="s">
        <v>148</v>
      </c>
      <c r="B58" s="132">
        <v>0.97</v>
      </c>
      <c r="C58" s="132">
        <v>0.90374999999999994</v>
      </c>
      <c r="D58" s="132">
        <v>0.89374999999999993</v>
      </c>
      <c r="E58" s="132">
        <v>0.78125</v>
      </c>
      <c r="F58" s="132">
        <v>1.1512499999999999</v>
      </c>
      <c r="G58" s="132">
        <v>1.1487499999999999</v>
      </c>
      <c r="H58" s="132">
        <v>1.18625</v>
      </c>
      <c r="I58" s="132">
        <v>1.0366323529411765</v>
      </c>
      <c r="J58" s="132">
        <v>1.4343163283402596</v>
      </c>
      <c r="K58" s="132">
        <v>1.43895108421109</v>
      </c>
      <c r="L58" s="132">
        <v>1.3270560298608407</v>
      </c>
      <c r="M58" s="132">
        <v>1.1774383828020174</v>
      </c>
      <c r="N58" s="132">
        <v>1.5612499999999998</v>
      </c>
      <c r="O58" s="132">
        <v>1.5587499999999999</v>
      </c>
      <c r="P58" s="132">
        <v>1.5962499999999999</v>
      </c>
      <c r="Q58" s="132">
        <v>1.4466323529411764</v>
      </c>
    </row>
    <row r="59" spans="1:17" x14ac:dyDescent="0.25">
      <c r="A59" s="50" t="s">
        <v>149</v>
      </c>
      <c r="B59" s="132">
        <v>0.92999999999999994</v>
      </c>
      <c r="C59" s="132">
        <v>0.91125</v>
      </c>
      <c r="D59" s="132">
        <v>0.88124999999999998</v>
      </c>
      <c r="E59" s="132">
        <v>0.78375000000000006</v>
      </c>
      <c r="F59" s="132">
        <v>1.1537500000000001</v>
      </c>
      <c r="G59" s="132">
        <v>1.12625</v>
      </c>
      <c r="H59" s="132">
        <v>1.1587499999999999</v>
      </c>
      <c r="I59" s="132">
        <v>1.0298970588235294</v>
      </c>
      <c r="J59" s="132">
        <v>1.4368163283402595</v>
      </c>
      <c r="K59" s="132">
        <v>1.41645108421109</v>
      </c>
      <c r="L59" s="132">
        <v>1.2995560298608408</v>
      </c>
      <c r="M59" s="132">
        <v>1.1707030886843703</v>
      </c>
      <c r="N59" s="132">
        <v>1.5637499999999998</v>
      </c>
      <c r="O59" s="132">
        <v>1.5362499999999999</v>
      </c>
      <c r="P59" s="132">
        <v>1.5687499999999999</v>
      </c>
      <c r="Q59" s="132">
        <v>1.4398970588235294</v>
      </c>
    </row>
  </sheetData>
  <mergeCells count="5">
    <mergeCell ref="A1:Q1"/>
    <mergeCell ref="B2:E2"/>
    <mergeCell ref="F2:I2"/>
    <mergeCell ref="J2:M2"/>
    <mergeCell ref="N2:Q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5" tint="0.79998168889431442"/>
  </sheetPr>
  <dimension ref="A1:L64"/>
  <sheetViews>
    <sheetView workbookViewId="0">
      <selection activeCell="K6" sqref="K6:L9"/>
    </sheetView>
  </sheetViews>
  <sheetFormatPr baseColWidth="10" defaultColWidth="11.42578125" defaultRowHeight="15" x14ac:dyDescent="0.25"/>
  <cols>
    <col min="1" max="11" width="11.42578125" style="1"/>
    <col min="12" max="12" width="17.5703125" style="1" customWidth="1"/>
    <col min="13" max="16384" width="11.42578125" style="1"/>
  </cols>
  <sheetData>
    <row r="1" spans="1:12" x14ac:dyDescent="0.25">
      <c r="A1" s="11"/>
      <c r="B1" s="166" t="s">
        <v>60</v>
      </c>
      <c r="C1" s="166"/>
      <c r="D1" s="166"/>
      <c r="E1" s="166"/>
      <c r="F1" s="166"/>
      <c r="G1" s="166"/>
      <c r="H1" s="166"/>
      <c r="I1" s="166"/>
    </row>
    <row r="2" spans="1:12" x14ac:dyDescent="0.25">
      <c r="A2" s="11"/>
      <c r="B2" s="162" t="s">
        <v>170</v>
      </c>
      <c r="C2" s="162"/>
      <c r="D2" s="162"/>
      <c r="E2" s="162"/>
      <c r="F2" s="165" t="s">
        <v>171</v>
      </c>
      <c r="G2" s="165"/>
      <c r="H2" s="165"/>
      <c r="I2" s="165"/>
    </row>
    <row r="3" spans="1:12" ht="22.5" x14ac:dyDescent="0.25">
      <c r="A3" s="45" t="s">
        <v>172</v>
      </c>
      <c r="B3" s="46" t="s">
        <v>155</v>
      </c>
      <c r="C3" s="46" t="s">
        <v>156</v>
      </c>
      <c r="D3" s="46" t="s">
        <v>157</v>
      </c>
      <c r="E3" s="46" t="s">
        <v>29</v>
      </c>
      <c r="F3" s="49" t="s">
        <v>155</v>
      </c>
      <c r="G3" s="49" t="s">
        <v>156</v>
      </c>
      <c r="H3" s="49" t="s">
        <v>157</v>
      </c>
      <c r="I3" s="49" t="s">
        <v>158</v>
      </c>
      <c r="L3" s="49" t="s">
        <v>159</v>
      </c>
    </row>
    <row r="4" spans="1:12" x14ac:dyDescent="0.25">
      <c r="A4" s="50">
        <v>2006</v>
      </c>
      <c r="B4" s="51">
        <v>115.99962524666584</v>
      </c>
      <c r="C4" s="51">
        <v>113.23765544252149</v>
      </c>
      <c r="D4" s="51">
        <v>110.0627360631228</v>
      </c>
      <c r="E4" s="51">
        <v>97.278000010524565</v>
      </c>
      <c r="F4" s="51">
        <v>147.48744544474675</v>
      </c>
      <c r="G4" s="51">
        <v>143.68343342233041</v>
      </c>
      <c r="H4" s="51">
        <v>130.33539583897758</v>
      </c>
      <c r="I4" s="51">
        <v>107.10753624384623</v>
      </c>
      <c r="K4" s="52" t="s">
        <v>161</v>
      </c>
      <c r="L4" s="53">
        <v>0.25</v>
      </c>
    </row>
    <row r="5" spans="1:12" x14ac:dyDescent="0.25">
      <c r="A5" s="50">
        <v>2007</v>
      </c>
      <c r="B5" s="51">
        <v>115.38409337338295</v>
      </c>
      <c r="C5" s="51">
        <v>112.63677948251315</v>
      </c>
      <c r="D5" s="51">
        <v>109.47870726162009</v>
      </c>
      <c r="E5" s="51">
        <v>96.761811191393761</v>
      </c>
      <c r="F5" s="51">
        <v>146.7048289200186</v>
      </c>
      <c r="G5" s="51">
        <v>142.92100222700458</v>
      </c>
      <c r="H5" s="51">
        <v>129.64379368780476</v>
      </c>
      <c r="I5" s="51">
        <v>106.53918869714771</v>
      </c>
      <c r="K5" s="52" t="s">
        <v>163</v>
      </c>
      <c r="L5" s="53">
        <v>0.25</v>
      </c>
    </row>
    <row r="6" spans="1:12" x14ac:dyDescent="0.25">
      <c r="A6" s="50">
        <v>2008</v>
      </c>
      <c r="B6" s="51">
        <v>113.566584978156</v>
      </c>
      <c r="C6" s="51">
        <v>110.86254625559528</v>
      </c>
      <c r="D6" s="51">
        <v>107.75421939046484</v>
      </c>
      <c r="E6" s="51">
        <v>95.237637459676066</v>
      </c>
      <c r="F6" s="51">
        <v>144.39396222785069</v>
      </c>
      <c r="G6" s="51">
        <v>140.66973765658136</v>
      </c>
      <c r="H6" s="51">
        <v>127.6016691927565</v>
      </c>
      <c r="I6" s="51">
        <v>104.86100356593398</v>
      </c>
      <c r="K6" s="52" t="s">
        <v>165</v>
      </c>
      <c r="L6" s="53">
        <v>0.25</v>
      </c>
    </row>
    <row r="7" spans="1:12" x14ac:dyDescent="0.25">
      <c r="A7" s="50">
        <v>2009</v>
      </c>
      <c r="B7" s="51">
        <v>108.36385187090136</v>
      </c>
      <c r="C7" s="51">
        <v>105.78369106355595</v>
      </c>
      <c r="D7" s="51">
        <v>102.81776343577594</v>
      </c>
      <c r="E7" s="51">
        <v>90.874593439611246</v>
      </c>
      <c r="F7" s="51">
        <v>137.7789596906612</v>
      </c>
      <c r="G7" s="51">
        <v>134.22534997480486</v>
      </c>
      <c r="H7" s="51">
        <v>121.75595824725487</v>
      </c>
      <c r="I7" s="51">
        <v>100.05709214236411</v>
      </c>
      <c r="K7" s="52" t="s">
        <v>167</v>
      </c>
      <c r="L7" s="53">
        <v>0.25</v>
      </c>
    </row>
    <row r="8" spans="1:12" x14ac:dyDescent="0.25">
      <c r="A8" s="50">
        <v>2010</v>
      </c>
      <c r="B8" s="51">
        <v>97.633739709705964</v>
      </c>
      <c r="C8" s="51">
        <v>95.37842360546756</v>
      </c>
      <c r="D8" s="51">
        <v>92.785909090909087</v>
      </c>
      <c r="E8" s="51">
        <v>82.346395572478485</v>
      </c>
      <c r="F8" s="51">
        <v>123.34545743867481</v>
      </c>
      <c r="G8" s="51">
        <v>120.2392505706639</v>
      </c>
      <c r="H8" s="51">
        <v>109.33976713802687</v>
      </c>
      <c r="I8" s="51">
        <v>90.372808942726394</v>
      </c>
      <c r="K8" s="52" t="s">
        <v>168</v>
      </c>
      <c r="L8" s="53">
        <v>0.25</v>
      </c>
    </row>
    <row r="9" spans="1:12" x14ac:dyDescent="0.25">
      <c r="A9" s="50">
        <v>2011</v>
      </c>
      <c r="B9" s="51">
        <v>73.140902997867514</v>
      </c>
      <c r="C9" s="51">
        <v>71.5660774196771</v>
      </c>
      <c r="D9" s="51">
        <v>69.755795410124705</v>
      </c>
      <c r="E9" s="51">
        <v>62.466168522881418</v>
      </c>
      <c r="F9" s="51">
        <v>91.094692563195622</v>
      </c>
      <c r="G9" s="51">
        <v>88.925713226905998</v>
      </c>
      <c r="H9" s="51">
        <v>81.314901923549598</v>
      </c>
      <c r="I9" s="51">
        <v>68.070793547657871</v>
      </c>
      <c r="K9" s="52" t="s">
        <v>169</v>
      </c>
      <c r="L9" s="53">
        <v>0.25</v>
      </c>
    </row>
    <row r="10" spans="1:12" x14ac:dyDescent="0.25">
      <c r="A10" s="50">
        <v>2012</v>
      </c>
      <c r="B10" s="51">
        <v>55.338937303860853</v>
      </c>
      <c r="C10" s="51">
        <v>54.187979402800487</v>
      </c>
      <c r="D10" s="51">
        <v>52.864938673149709</v>
      </c>
      <c r="E10" s="51">
        <v>47.53733047459891</v>
      </c>
      <c r="F10" s="51">
        <v>74.37501709026732</v>
      </c>
      <c r="G10" s="51">
        <v>72.065175223069957</v>
      </c>
      <c r="H10" s="51">
        <v>47.647589399191268</v>
      </c>
      <c r="I10" s="51">
        <v>54.699321455016495</v>
      </c>
    </row>
    <row r="11" spans="1:12" x14ac:dyDescent="0.25">
      <c r="A11" s="50">
        <v>2013</v>
      </c>
      <c r="B11" s="51">
        <v>50.767550862063885</v>
      </c>
      <c r="C11" s="51">
        <v>47.685983306070781</v>
      </c>
      <c r="D11" s="51">
        <v>45.348375095970674</v>
      </c>
      <c r="E11" s="51">
        <v>41.462890127259882</v>
      </c>
      <c r="F11" s="51">
        <v>62.792882387440464</v>
      </c>
      <c r="G11" s="51">
        <v>59.072145852700118</v>
      </c>
      <c r="H11" s="51">
        <v>41.53956459438993</v>
      </c>
      <c r="I11" s="51">
        <v>45.921169292262078</v>
      </c>
    </row>
    <row r="12" spans="1:12" x14ac:dyDescent="0.25">
      <c r="A12" s="50">
        <v>2014</v>
      </c>
      <c r="B12" s="51">
        <v>46.326164420266927</v>
      </c>
      <c r="C12" s="51">
        <v>41.313987209341072</v>
      </c>
      <c r="D12" s="51">
        <v>37.961811518791642</v>
      </c>
      <c r="E12" s="51">
        <v>35.518449779920857</v>
      </c>
      <c r="F12" s="51">
        <v>51.340747684613611</v>
      </c>
      <c r="G12" s="51">
        <v>46.20911648233028</v>
      </c>
      <c r="H12" s="51">
        <v>35.561539789588601</v>
      </c>
      <c r="I12" s="51">
        <v>37.273017129507657</v>
      </c>
    </row>
    <row r="13" spans="1:12" x14ac:dyDescent="0.25">
      <c r="A13" s="50">
        <v>2015</v>
      </c>
      <c r="B13" s="51">
        <v>41.834777978469958</v>
      </c>
      <c r="C13" s="51">
        <v>34.891991112611358</v>
      </c>
      <c r="D13" s="51">
        <v>30.525247941612609</v>
      </c>
      <c r="E13" s="51">
        <v>29.524009432581828</v>
      </c>
      <c r="F13" s="51">
        <v>39.83861298178676</v>
      </c>
      <c r="G13" s="51">
        <v>33.296087111960439</v>
      </c>
      <c r="H13" s="51">
        <v>29.533514984787264</v>
      </c>
      <c r="I13" s="51">
        <v>28.574864966753239</v>
      </c>
    </row>
    <row r="14" spans="1:12" x14ac:dyDescent="0.25">
      <c r="A14" s="50">
        <v>2016</v>
      </c>
      <c r="B14" s="51">
        <v>38.214208373153028</v>
      </c>
      <c r="C14" s="51">
        <v>33.416752436357001</v>
      </c>
      <c r="D14" s="51">
        <v>29.052919038294572</v>
      </c>
      <c r="E14" s="51">
        <v>26.691477417925967</v>
      </c>
      <c r="F14" s="51">
        <v>34.976996352752039</v>
      </c>
      <c r="G14" s="51">
        <v>30.681423735724959</v>
      </c>
      <c r="H14" s="51">
        <v>28.592606149387553</v>
      </c>
      <c r="I14" s="51">
        <v>26.281066106137523</v>
      </c>
    </row>
    <row r="15" spans="1:12" x14ac:dyDescent="0.25">
      <c r="A15" s="50">
        <v>2017</v>
      </c>
      <c r="B15" s="51">
        <v>33.452765600375812</v>
      </c>
      <c r="C15" s="51">
        <v>31.951513760102635</v>
      </c>
      <c r="D15" s="51">
        <v>27.590590134976534</v>
      </c>
      <c r="E15" s="51">
        <v>23.868945403270107</v>
      </c>
      <c r="F15" s="51">
        <v>29.341660192731492</v>
      </c>
      <c r="G15" s="51">
        <v>28.076760359489477</v>
      </c>
      <c r="H15" s="51">
        <v>27.661697313987847</v>
      </c>
      <c r="I15" s="51">
        <v>23.926984535553398</v>
      </c>
    </row>
    <row r="16" spans="1:12" x14ac:dyDescent="0.25">
      <c r="A16" s="50">
        <v>2018</v>
      </c>
      <c r="B16" s="51">
        <v>30.639430159636817</v>
      </c>
      <c r="C16" s="51">
        <v>26.466773041958653</v>
      </c>
      <c r="D16" s="51">
        <v>24.555225812104467</v>
      </c>
      <c r="E16" s="51">
        <v>21.510924128863209</v>
      </c>
      <c r="F16" s="51">
        <v>27.129935107711823</v>
      </c>
      <c r="G16" s="51">
        <v>23.587410459172482</v>
      </c>
      <c r="H16" s="51">
        <v>23.745829572554165</v>
      </c>
      <c r="I16" s="51">
        <v>20.84516029389097</v>
      </c>
    </row>
    <row r="17" spans="1:9" x14ac:dyDescent="0.25">
      <c r="A17" s="50">
        <v>2019</v>
      </c>
      <c r="B17" s="51">
        <v>33.553338061319302</v>
      </c>
      <c r="C17" s="51">
        <v>29.800805794485033</v>
      </c>
      <c r="D17" s="51">
        <v>27.65784106793577</v>
      </c>
      <c r="E17" s="51">
        <v>25.37686751807739</v>
      </c>
      <c r="F17" s="51">
        <v>27.439090882229294</v>
      </c>
      <c r="G17" s="51">
        <v>24.566197171357334</v>
      </c>
      <c r="H17" s="51">
        <v>23.43496163139833</v>
      </c>
      <c r="I17" s="51">
        <v>21.631120642003864</v>
      </c>
    </row>
    <row r="18" spans="1:9" x14ac:dyDescent="0.25">
      <c r="A18" s="50">
        <v>2020</v>
      </c>
      <c r="B18" s="51">
        <v>29.060762598668369</v>
      </c>
      <c r="C18" s="51">
        <v>28.54906407171763</v>
      </c>
      <c r="D18" s="51">
        <v>27.960860114097258</v>
      </c>
      <c r="E18" s="51">
        <v>25.592285846647865</v>
      </c>
      <c r="F18" s="51">
        <v>26.100064774939508</v>
      </c>
      <c r="G18" s="51">
        <v>25.658860941147875</v>
      </c>
      <c r="H18" s="51">
        <v>24.334507408998139</v>
      </c>
      <c r="I18" s="51">
        <v>22.387165284476112</v>
      </c>
    </row>
    <row r="19" spans="1:9" x14ac:dyDescent="0.25">
      <c r="A19" s="50">
        <v>2021</v>
      </c>
      <c r="B19" s="51">
        <v>29.060762598668369</v>
      </c>
      <c r="C19" s="51">
        <v>28.54906407171763</v>
      </c>
      <c r="D19" s="51">
        <v>27.960860114097258</v>
      </c>
      <c r="E19" s="51">
        <v>25.592285846647865</v>
      </c>
      <c r="F19" s="51">
        <v>26.100064774939508</v>
      </c>
      <c r="G19" s="51">
        <v>25.658860941147875</v>
      </c>
      <c r="H19" s="51">
        <v>24.334507408998139</v>
      </c>
      <c r="I19" s="51">
        <v>22.387165284476112</v>
      </c>
    </row>
    <row r="20" spans="1:9" x14ac:dyDescent="0.25">
      <c r="A20" s="50">
        <v>2022</v>
      </c>
      <c r="B20" s="51">
        <f>B19</f>
        <v>29.060762598668369</v>
      </c>
      <c r="C20" s="51">
        <f t="shared" ref="C20:I20" si="0">C19</f>
        <v>28.54906407171763</v>
      </c>
      <c r="D20" s="51">
        <f t="shared" si="0"/>
        <v>27.960860114097258</v>
      </c>
      <c r="E20" s="51">
        <f t="shared" si="0"/>
        <v>25.592285846647865</v>
      </c>
      <c r="F20" s="51">
        <f t="shared" si="0"/>
        <v>26.100064774939508</v>
      </c>
      <c r="G20" s="51">
        <f t="shared" si="0"/>
        <v>25.658860941147875</v>
      </c>
      <c r="H20" s="51">
        <f t="shared" si="0"/>
        <v>24.334507408998139</v>
      </c>
      <c r="I20" s="51">
        <f t="shared" si="0"/>
        <v>22.387165284476112</v>
      </c>
    </row>
    <row r="21" spans="1:9" x14ac:dyDescent="0.25">
      <c r="A21" s="50">
        <v>2023</v>
      </c>
      <c r="B21" s="51">
        <f t="shared" ref="B21:B64" si="1">B20</f>
        <v>29.060762598668369</v>
      </c>
      <c r="C21" s="51">
        <f t="shared" ref="C21:C64" si="2">C20</f>
        <v>28.54906407171763</v>
      </c>
      <c r="D21" s="51">
        <f t="shared" ref="D21:D64" si="3">D20</f>
        <v>27.960860114097258</v>
      </c>
      <c r="E21" s="51">
        <f t="shared" ref="E21:E64" si="4">E20</f>
        <v>25.592285846647865</v>
      </c>
      <c r="F21" s="51">
        <f t="shared" ref="F21:F64" si="5">F20</f>
        <v>26.100064774939508</v>
      </c>
      <c r="G21" s="51">
        <f t="shared" ref="G21:G64" si="6">G20</f>
        <v>25.658860941147875</v>
      </c>
      <c r="H21" s="51">
        <f t="shared" ref="H21:H64" si="7">H20</f>
        <v>24.334507408998139</v>
      </c>
      <c r="I21" s="51">
        <f t="shared" ref="I21:I64" si="8">I20</f>
        <v>22.387165284476112</v>
      </c>
    </row>
    <row r="22" spans="1:9" x14ac:dyDescent="0.25">
      <c r="A22" s="50">
        <v>2024</v>
      </c>
      <c r="B22" s="51">
        <f t="shared" si="1"/>
        <v>29.060762598668369</v>
      </c>
      <c r="C22" s="51">
        <f t="shared" si="2"/>
        <v>28.54906407171763</v>
      </c>
      <c r="D22" s="51">
        <f t="shared" si="3"/>
        <v>27.960860114097258</v>
      </c>
      <c r="E22" s="51">
        <f t="shared" si="4"/>
        <v>25.592285846647865</v>
      </c>
      <c r="F22" s="51">
        <f t="shared" si="5"/>
        <v>26.100064774939508</v>
      </c>
      <c r="G22" s="51">
        <f t="shared" si="6"/>
        <v>25.658860941147875</v>
      </c>
      <c r="H22" s="51">
        <f t="shared" si="7"/>
        <v>24.334507408998139</v>
      </c>
      <c r="I22" s="51">
        <f t="shared" si="8"/>
        <v>22.387165284476112</v>
      </c>
    </row>
    <row r="23" spans="1:9" x14ac:dyDescent="0.25">
      <c r="A23" s="50">
        <v>2025</v>
      </c>
      <c r="B23" s="51">
        <f t="shared" si="1"/>
        <v>29.060762598668369</v>
      </c>
      <c r="C23" s="51">
        <f t="shared" si="2"/>
        <v>28.54906407171763</v>
      </c>
      <c r="D23" s="51">
        <f t="shared" si="3"/>
        <v>27.960860114097258</v>
      </c>
      <c r="E23" s="51">
        <f t="shared" si="4"/>
        <v>25.592285846647865</v>
      </c>
      <c r="F23" s="51">
        <f t="shared" si="5"/>
        <v>26.100064774939508</v>
      </c>
      <c r="G23" s="51">
        <f t="shared" si="6"/>
        <v>25.658860941147875</v>
      </c>
      <c r="H23" s="51">
        <f t="shared" si="7"/>
        <v>24.334507408998139</v>
      </c>
      <c r="I23" s="51">
        <f t="shared" si="8"/>
        <v>22.387165284476112</v>
      </c>
    </row>
    <row r="24" spans="1:9" x14ac:dyDescent="0.25">
      <c r="A24" s="50">
        <v>2026</v>
      </c>
      <c r="B24" s="51">
        <f t="shared" si="1"/>
        <v>29.060762598668369</v>
      </c>
      <c r="C24" s="51">
        <f t="shared" si="2"/>
        <v>28.54906407171763</v>
      </c>
      <c r="D24" s="51">
        <f t="shared" si="3"/>
        <v>27.960860114097258</v>
      </c>
      <c r="E24" s="51">
        <f t="shared" si="4"/>
        <v>25.592285846647865</v>
      </c>
      <c r="F24" s="51">
        <f t="shared" si="5"/>
        <v>26.100064774939508</v>
      </c>
      <c r="G24" s="51">
        <f t="shared" si="6"/>
        <v>25.658860941147875</v>
      </c>
      <c r="H24" s="51">
        <f t="shared" si="7"/>
        <v>24.334507408998139</v>
      </c>
      <c r="I24" s="51">
        <f t="shared" si="8"/>
        <v>22.387165284476112</v>
      </c>
    </row>
    <row r="25" spans="1:9" x14ac:dyDescent="0.25">
      <c r="A25" s="50">
        <v>2027</v>
      </c>
      <c r="B25" s="51">
        <f t="shared" si="1"/>
        <v>29.060762598668369</v>
      </c>
      <c r="C25" s="51">
        <f t="shared" si="2"/>
        <v>28.54906407171763</v>
      </c>
      <c r="D25" s="51">
        <f t="shared" si="3"/>
        <v>27.960860114097258</v>
      </c>
      <c r="E25" s="51">
        <f t="shared" si="4"/>
        <v>25.592285846647865</v>
      </c>
      <c r="F25" s="51">
        <f t="shared" si="5"/>
        <v>26.100064774939508</v>
      </c>
      <c r="G25" s="51">
        <f t="shared" si="6"/>
        <v>25.658860941147875</v>
      </c>
      <c r="H25" s="51">
        <f t="shared" si="7"/>
        <v>24.334507408998139</v>
      </c>
      <c r="I25" s="51">
        <f t="shared" si="8"/>
        <v>22.387165284476112</v>
      </c>
    </row>
    <row r="26" spans="1:9" x14ac:dyDescent="0.25">
      <c r="A26" s="50">
        <v>2028</v>
      </c>
      <c r="B26" s="51">
        <f t="shared" si="1"/>
        <v>29.060762598668369</v>
      </c>
      <c r="C26" s="51">
        <f t="shared" si="2"/>
        <v>28.54906407171763</v>
      </c>
      <c r="D26" s="51">
        <f t="shared" si="3"/>
        <v>27.960860114097258</v>
      </c>
      <c r="E26" s="51">
        <f t="shared" si="4"/>
        <v>25.592285846647865</v>
      </c>
      <c r="F26" s="51">
        <f t="shared" si="5"/>
        <v>26.100064774939508</v>
      </c>
      <c r="G26" s="51">
        <f t="shared" si="6"/>
        <v>25.658860941147875</v>
      </c>
      <c r="H26" s="51">
        <f t="shared" si="7"/>
        <v>24.334507408998139</v>
      </c>
      <c r="I26" s="51">
        <f t="shared" si="8"/>
        <v>22.387165284476112</v>
      </c>
    </row>
    <row r="27" spans="1:9" x14ac:dyDescent="0.25">
      <c r="A27" s="50">
        <v>2029</v>
      </c>
      <c r="B27" s="51">
        <f t="shared" si="1"/>
        <v>29.060762598668369</v>
      </c>
      <c r="C27" s="51">
        <f t="shared" si="2"/>
        <v>28.54906407171763</v>
      </c>
      <c r="D27" s="51">
        <f t="shared" si="3"/>
        <v>27.960860114097258</v>
      </c>
      <c r="E27" s="51">
        <f t="shared" si="4"/>
        <v>25.592285846647865</v>
      </c>
      <c r="F27" s="51">
        <f t="shared" si="5"/>
        <v>26.100064774939508</v>
      </c>
      <c r="G27" s="51">
        <f t="shared" si="6"/>
        <v>25.658860941147875</v>
      </c>
      <c r="H27" s="51">
        <f t="shared" si="7"/>
        <v>24.334507408998139</v>
      </c>
      <c r="I27" s="51">
        <f t="shared" si="8"/>
        <v>22.387165284476112</v>
      </c>
    </row>
    <row r="28" spans="1:9" x14ac:dyDescent="0.25">
      <c r="A28" s="50">
        <v>2030</v>
      </c>
      <c r="B28" s="51">
        <f t="shared" si="1"/>
        <v>29.060762598668369</v>
      </c>
      <c r="C28" s="51">
        <f t="shared" si="2"/>
        <v>28.54906407171763</v>
      </c>
      <c r="D28" s="51">
        <f t="shared" si="3"/>
        <v>27.960860114097258</v>
      </c>
      <c r="E28" s="51">
        <f t="shared" si="4"/>
        <v>25.592285846647865</v>
      </c>
      <c r="F28" s="51">
        <f t="shared" si="5"/>
        <v>26.100064774939508</v>
      </c>
      <c r="G28" s="51">
        <f t="shared" si="6"/>
        <v>25.658860941147875</v>
      </c>
      <c r="H28" s="51">
        <f t="shared" si="7"/>
        <v>24.334507408998139</v>
      </c>
      <c r="I28" s="51">
        <f t="shared" si="8"/>
        <v>22.387165284476112</v>
      </c>
    </row>
    <row r="29" spans="1:9" x14ac:dyDescent="0.25">
      <c r="A29" s="50">
        <v>2031</v>
      </c>
      <c r="B29" s="51">
        <f t="shared" si="1"/>
        <v>29.060762598668369</v>
      </c>
      <c r="C29" s="51">
        <f t="shared" si="2"/>
        <v>28.54906407171763</v>
      </c>
      <c r="D29" s="51">
        <f t="shared" si="3"/>
        <v>27.960860114097258</v>
      </c>
      <c r="E29" s="51">
        <f t="shared" si="4"/>
        <v>25.592285846647865</v>
      </c>
      <c r="F29" s="51">
        <f t="shared" si="5"/>
        <v>26.100064774939508</v>
      </c>
      <c r="G29" s="51">
        <f t="shared" si="6"/>
        <v>25.658860941147875</v>
      </c>
      <c r="H29" s="51">
        <f t="shared" si="7"/>
        <v>24.334507408998139</v>
      </c>
      <c r="I29" s="51">
        <f t="shared" si="8"/>
        <v>22.387165284476112</v>
      </c>
    </row>
    <row r="30" spans="1:9" x14ac:dyDescent="0.25">
      <c r="A30" s="50">
        <v>2032</v>
      </c>
      <c r="B30" s="51">
        <f t="shared" si="1"/>
        <v>29.060762598668369</v>
      </c>
      <c r="C30" s="51">
        <f t="shared" si="2"/>
        <v>28.54906407171763</v>
      </c>
      <c r="D30" s="51">
        <f t="shared" si="3"/>
        <v>27.960860114097258</v>
      </c>
      <c r="E30" s="51">
        <f t="shared" si="4"/>
        <v>25.592285846647865</v>
      </c>
      <c r="F30" s="51">
        <f t="shared" si="5"/>
        <v>26.100064774939508</v>
      </c>
      <c r="G30" s="51">
        <f t="shared" si="6"/>
        <v>25.658860941147875</v>
      </c>
      <c r="H30" s="51">
        <f t="shared" si="7"/>
        <v>24.334507408998139</v>
      </c>
      <c r="I30" s="51">
        <f t="shared" si="8"/>
        <v>22.387165284476112</v>
      </c>
    </row>
    <row r="31" spans="1:9" x14ac:dyDescent="0.25">
      <c r="A31" s="50">
        <v>2033</v>
      </c>
      <c r="B31" s="51">
        <f t="shared" si="1"/>
        <v>29.060762598668369</v>
      </c>
      <c r="C31" s="51">
        <f t="shared" si="2"/>
        <v>28.54906407171763</v>
      </c>
      <c r="D31" s="51">
        <f t="shared" si="3"/>
        <v>27.960860114097258</v>
      </c>
      <c r="E31" s="51">
        <f t="shared" si="4"/>
        <v>25.592285846647865</v>
      </c>
      <c r="F31" s="51">
        <f t="shared" si="5"/>
        <v>26.100064774939508</v>
      </c>
      <c r="G31" s="51">
        <f t="shared" si="6"/>
        <v>25.658860941147875</v>
      </c>
      <c r="H31" s="51">
        <f t="shared" si="7"/>
        <v>24.334507408998139</v>
      </c>
      <c r="I31" s="51">
        <f t="shared" si="8"/>
        <v>22.387165284476112</v>
      </c>
    </row>
    <row r="32" spans="1:9" x14ac:dyDescent="0.25">
      <c r="A32" s="50">
        <v>2034</v>
      </c>
      <c r="B32" s="51">
        <f t="shared" si="1"/>
        <v>29.060762598668369</v>
      </c>
      <c r="C32" s="51">
        <f t="shared" si="2"/>
        <v>28.54906407171763</v>
      </c>
      <c r="D32" s="51">
        <f t="shared" si="3"/>
        <v>27.960860114097258</v>
      </c>
      <c r="E32" s="51">
        <f t="shared" si="4"/>
        <v>25.592285846647865</v>
      </c>
      <c r="F32" s="51">
        <f t="shared" si="5"/>
        <v>26.100064774939508</v>
      </c>
      <c r="G32" s="51">
        <f t="shared" si="6"/>
        <v>25.658860941147875</v>
      </c>
      <c r="H32" s="51">
        <f t="shared" si="7"/>
        <v>24.334507408998139</v>
      </c>
      <c r="I32" s="51">
        <f t="shared" si="8"/>
        <v>22.387165284476112</v>
      </c>
    </row>
    <row r="33" spans="1:9" x14ac:dyDescent="0.25">
      <c r="A33" s="50">
        <v>2035</v>
      </c>
      <c r="B33" s="51">
        <f t="shared" si="1"/>
        <v>29.060762598668369</v>
      </c>
      <c r="C33" s="51">
        <f t="shared" si="2"/>
        <v>28.54906407171763</v>
      </c>
      <c r="D33" s="51">
        <f t="shared" si="3"/>
        <v>27.960860114097258</v>
      </c>
      <c r="E33" s="51">
        <f t="shared" si="4"/>
        <v>25.592285846647865</v>
      </c>
      <c r="F33" s="51">
        <f t="shared" si="5"/>
        <v>26.100064774939508</v>
      </c>
      <c r="G33" s="51">
        <f t="shared" si="6"/>
        <v>25.658860941147875</v>
      </c>
      <c r="H33" s="51">
        <f t="shared" si="7"/>
        <v>24.334507408998139</v>
      </c>
      <c r="I33" s="51">
        <f t="shared" si="8"/>
        <v>22.387165284476112</v>
      </c>
    </row>
    <row r="34" spans="1:9" x14ac:dyDescent="0.25">
      <c r="A34" s="50">
        <v>2036</v>
      </c>
      <c r="B34" s="51">
        <f t="shared" si="1"/>
        <v>29.060762598668369</v>
      </c>
      <c r="C34" s="51">
        <f t="shared" si="2"/>
        <v>28.54906407171763</v>
      </c>
      <c r="D34" s="51">
        <f t="shared" si="3"/>
        <v>27.960860114097258</v>
      </c>
      <c r="E34" s="51">
        <f t="shared" si="4"/>
        <v>25.592285846647865</v>
      </c>
      <c r="F34" s="51">
        <f t="shared" si="5"/>
        <v>26.100064774939508</v>
      </c>
      <c r="G34" s="51">
        <f t="shared" si="6"/>
        <v>25.658860941147875</v>
      </c>
      <c r="H34" s="51">
        <f t="shared" si="7"/>
        <v>24.334507408998139</v>
      </c>
      <c r="I34" s="51">
        <f t="shared" si="8"/>
        <v>22.387165284476112</v>
      </c>
    </row>
    <row r="35" spans="1:9" x14ac:dyDescent="0.25">
      <c r="A35" s="50">
        <v>2037</v>
      </c>
      <c r="B35" s="51">
        <f t="shared" si="1"/>
        <v>29.060762598668369</v>
      </c>
      <c r="C35" s="51">
        <f t="shared" si="2"/>
        <v>28.54906407171763</v>
      </c>
      <c r="D35" s="51">
        <f t="shared" si="3"/>
        <v>27.960860114097258</v>
      </c>
      <c r="E35" s="51">
        <f t="shared" si="4"/>
        <v>25.592285846647865</v>
      </c>
      <c r="F35" s="51">
        <f t="shared" si="5"/>
        <v>26.100064774939508</v>
      </c>
      <c r="G35" s="51">
        <f t="shared" si="6"/>
        <v>25.658860941147875</v>
      </c>
      <c r="H35" s="51">
        <f t="shared" si="7"/>
        <v>24.334507408998139</v>
      </c>
      <c r="I35" s="51">
        <f t="shared" si="8"/>
        <v>22.387165284476112</v>
      </c>
    </row>
    <row r="36" spans="1:9" x14ac:dyDescent="0.25">
      <c r="A36" s="50">
        <v>2038</v>
      </c>
      <c r="B36" s="51">
        <f t="shared" si="1"/>
        <v>29.060762598668369</v>
      </c>
      <c r="C36" s="51">
        <f t="shared" si="2"/>
        <v>28.54906407171763</v>
      </c>
      <c r="D36" s="51">
        <f t="shared" si="3"/>
        <v>27.960860114097258</v>
      </c>
      <c r="E36" s="51">
        <f t="shared" si="4"/>
        <v>25.592285846647865</v>
      </c>
      <c r="F36" s="51">
        <f t="shared" si="5"/>
        <v>26.100064774939508</v>
      </c>
      <c r="G36" s="51">
        <f t="shared" si="6"/>
        <v>25.658860941147875</v>
      </c>
      <c r="H36" s="51">
        <f t="shared" si="7"/>
        <v>24.334507408998139</v>
      </c>
      <c r="I36" s="51">
        <f t="shared" si="8"/>
        <v>22.387165284476112</v>
      </c>
    </row>
    <row r="37" spans="1:9" x14ac:dyDescent="0.25">
      <c r="A37" s="50">
        <v>2039</v>
      </c>
      <c r="B37" s="51">
        <f t="shared" si="1"/>
        <v>29.060762598668369</v>
      </c>
      <c r="C37" s="51">
        <f t="shared" si="2"/>
        <v>28.54906407171763</v>
      </c>
      <c r="D37" s="51">
        <f t="shared" si="3"/>
        <v>27.960860114097258</v>
      </c>
      <c r="E37" s="51">
        <f t="shared" si="4"/>
        <v>25.592285846647865</v>
      </c>
      <c r="F37" s="51">
        <f t="shared" si="5"/>
        <v>26.100064774939508</v>
      </c>
      <c r="G37" s="51">
        <f t="shared" si="6"/>
        <v>25.658860941147875</v>
      </c>
      <c r="H37" s="51">
        <f t="shared" si="7"/>
        <v>24.334507408998139</v>
      </c>
      <c r="I37" s="51">
        <f t="shared" si="8"/>
        <v>22.387165284476112</v>
      </c>
    </row>
    <row r="38" spans="1:9" x14ac:dyDescent="0.25">
      <c r="A38" s="50">
        <v>2040</v>
      </c>
      <c r="B38" s="51">
        <f t="shared" si="1"/>
        <v>29.060762598668369</v>
      </c>
      <c r="C38" s="51">
        <f t="shared" si="2"/>
        <v>28.54906407171763</v>
      </c>
      <c r="D38" s="51">
        <f t="shared" si="3"/>
        <v>27.960860114097258</v>
      </c>
      <c r="E38" s="51">
        <f t="shared" si="4"/>
        <v>25.592285846647865</v>
      </c>
      <c r="F38" s="51">
        <f t="shared" si="5"/>
        <v>26.100064774939508</v>
      </c>
      <c r="G38" s="51">
        <f t="shared" si="6"/>
        <v>25.658860941147875</v>
      </c>
      <c r="H38" s="51">
        <f t="shared" si="7"/>
        <v>24.334507408998139</v>
      </c>
      <c r="I38" s="51">
        <f t="shared" si="8"/>
        <v>22.387165284476112</v>
      </c>
    </row>
    <row r="39" spans="1:9" x14ac:dyDescent="0.25">
      <c r="A39" s="50">
        <v>2041</v>
      </c>
      <c r="B39" s="51">
        <f t="shared" si="1"/>
        <v>29.060762598668369</v>
      </c>
      <c r="C39" s="51">
        <f t="shared" si="2"/>
        <v>28.54906407171763</v>
      </c>
      <c r="D39" s="51">
        <f t="shared" si="3"/>
        <v>27.960860114097258</v>
      </c>
      <c r="E39" s="51">
        <f t="shared" si="4"/>
        <v>25.592285846647865</v>
      </c>
      <c r="F39" s="51">
        <f t="shared" si="5"/>
        <v>26.100064774939508</v>
      </c>
      <c r="G39" s="51">
        <f t="shared" si="6"/>
        <v>25.658860941147875</v>
      </c>
      <c r="H39" s="51">
        <f t="shared" si="7"/>
        <v>24.334507408998139</v>
      </c>
      <c r="I39" s="51">
        <f t="shared" si="8"/>
        <v>22.387165284476112</v>
      </c>
    </row>
    <row r="40" spans="1:9" x14ac:dyDescent="0.25">
      <c r="A40" s="50">
        <v>2042</v>
      </c>
      <c r="B40" s="51">
        <f t="shared" si="1"/>
        <v>29.060762598668369</v>
      </c>
      <c r="C40" s="51">
        <f t="shared" si="2"/>
        <v>28.54906407171763</v>
      </c>
      <c r="D40" s="51">
        <f t="shared" si="3"/>
        <v>27.960860114097258</v>
      </c>
      <c r="E40" s="51">
        <f t="shared" si="4"/>
        <v>25.592285846647865</v>
      </c>
      <c r="F40" s="51">
        <f t="shared" si="5"/>
        <v>26.100064774939508</v>
      </c>
      <c r="G40" s="51">
        <f t="shared" si="6"/>
        <v>25.658860941147875</v>
      </c>
      <c r="H40" s="51">
        <f t="shared" si="7"/>
        <v>24.334507408998139</v>
      </c>
      <c r="I40" s="51">
        <f t="shared" si="8"/>
        <v>22.387165284476112</v>
      </c>
    </row>
    <row r="41" spans="1:9" x14ac:dyDescent="0.25">
      <c r="A41" s="50">
        <v>2043</v>
      </c>
      <c r="B41" s="51">
        <f t="shared" si="1"/>
        <v>29.060762598668369</v>
      </c>
      <c r="C41" s="51">
        <f t="shared" si="2"/>
        <v>28.54906407171763</v>
      </c>
      <c r="D41" s="51">
        <f t="shared" si="3"/>
        <v>27.960860114097258</v>
      </c>
      <c r="E41" s="51">
        <f t="shared" si="4"/>
        <v>25.592285846647865</v>
      </c>
      <c r="F41" s="51">
        <f t="shared" si="5"/>
        <v>26.100064774939508</v>
      </c>
      <c r="G41" s="51">
        <f t="shared" si="6"/>
        <v>25.658860941147875</v>
      </c>
      <c r="H41" s="51">
        <f t="shared" si="7"/>
        <v>24.334507408998139</v>
      </c>
      <c r="I41" s="51">
        <f t="shared" si="8"/>
        <v>22.387165284476112</v>
      </c>
    </row>
    <row r="42" spans="1:9" x14ac:dyDescent="0.25">
      <c r="A42" s="50">
        <v>2044</v>
      </c>
      <c r="B42" s="51">
        <f t="shared" si="1"/>
        <v>29.060762598668369</v>
      </c>
      <c r="C42" s="51">
        <f t="shared" si="2"/>
        <v>28.54906407171763</v>
      </c>
      <c r="D42" s="51">
        <f t="shared" si="3"/>
        <v>27.960860114097258</v>
      </c>
      <c r="E42" s="51">
        <f t="shared" si="4"/>
        <v>25.592285846647865</v>
      </c>
      <c r="F42" s="51">
        <f t="shared" si="5"/>
        <v>26.100064774939508</v>
      </c>
      <c r="G42" s="51">
        <f t="shared" si="6"/>
        <v>25.658860941147875</v>
      </c>
      <c r="H42" s="51">
        <f t="shared" si="7"/>
        <v>24.334507408998139</v>
      </c>
      <c r="I42" s="51">
        <f t="shared" si="8"/>
        <v>22.387165284476112</v>
      </c>
    </row>
    <row r="43" spans="1:9" x14ac:dyDescent="0.25">
      <c r="A43" s="50">
        <v>2045</v>
      </c>
      <c r="B43" s="51">
        <f t="shared" si="1"/>
        <v>29.060762598668369</v>
      </c>
      <c r="C43" s="51">
        <f t="shared" si="2"/>
        <v>28.54906407171763</v>
      </c>
      <c r="D43" s="51">
        <f t="shared" si="3"/>
        <v>27.960860114097258</v>
      </c>
      <c r="E43" s="51">
        <f t="shared" si="4"/>
        <v>25.592285846647865</v>
      </c>
      <c r="F43" s="51">
        <f t="shared" si="5"/>
        <v>26.100064774939508</v>
      </c>
      <c r="G43" s="51">
        <f t="shared" si="6"/>
        <v>25.658860941147875</v>
      </c>
      <c r="H43" s="51">
        <f t="shared" si="7"/>
        <v>24.334507408998139</v>
      </c>
      <c r="I43" s="51">
        <f t="shared" si="8"/>
        <v>22.387165284476112</v>
      </c>
    </row>
    <row r="44" spans="1:9" x14ac:dyDescent="0.25">
      <c r="A44" s="50">
        <v>2046</v>
      </c>
      <c r="B44" s="51">
        <f t="shared" si="1"/>
        <v>29.060762598668369</v>
      </c>
      <c r="C44" s="51">
        <f t="shared" si="2"/>
        <v>28.54906407171763</v>
      </c>
      <c r="D44" s="51">
        <f t="shared" si="3"/>
        <v>27.960860114097258</v>
      </c>
      <c r="E44" s="51">
        <f t="shared" si="4"/>
        <v>25.592285846647865</v>
      </c>
      <c r="F44" s="51">
        <f t="shared" si="5"/>
        <v>26.100064774939508</v>
      </c>
      <c r="G44" s="51">
        <f t="shared" si="6"/>
        <v>25.658860941147875</v>
      </c>
      <c r="H44" s="51">
        <f t="shared" si="7"/>
        <v>24.334507408998139</v>
      </c>
      <c r="I44" s="51">
        <f t="shared" si="8"/>
        <v>22.387165284476112</v>
      </c>
    </row>
    <row r="45" spans="1:9" x14ac:dyDescent="0.25">
      <c r="A45" s="50">
        <v>2047</v>
      </c>
      <c r="B45" s="51">
        <f t="shared" si="1"/>
        <v>29.060762598668369</v>
      </c>
      <c r="C45" s="51">
        <f t="shared" si="2"/>
        <v>28.54906407171763</v>
      </c>
      <c r="D45" s="51">
        <f t="shared" si="3"/>
        <v>27.960860114097258</v>
      </c>
      <c r="E45" s="51">
        <f t="shared" si="4"/>
        <v>25.592285846647865</v>
      </c>
      <c r="F45" s="51">
        <f t="shared" si="5"/>
        <v>26.100064774939508</v>
      </c>
      <c r="G45" s="51">
        <f t="shared" si="6"/>
        <v>25.658860941147875</v>
      </c>
      <c r="H45" s="51">
        <f t="shared" si="7"/>
        <v>24.334507408998139</v>
      </c>
      <c r="I45" s="51">
        <f t="shared" si="8"/>
        <v>22.387165284476112</v>
      </c>
    </row>
    <row r="46" spans="1:9" x14ac:dyDescent="0.25">
      <c r="A46" s="50">
        <v>2048</v>
      </c>
      <c r="B46" s="51">
        <f t="shared" si="1"/>
        <v>29.060762598668369</v>
      </c>
      <c r="C46" s="51">
        <f t="shared" si="2"/>
        <v>28.54906407171763</v>
      </c>
      <c r="D46" s="51">
        <f t="shared" si="3"/>
        <v>27.960860114097258</v>
      </c>
      <c r="E46" s="51">
        <f t="shared" si="4"/>
        <v>25.592285846647865</v>
      </c>
      <c r="F46" s="51">
        <f t="shared" si="5"/>
        <v>26.100064774939508</v>
      </c>
      <c r="G46" s="51">
        <f t="shared" si="6"/>
        <v>25.658860941147875</v>
      </c>
      <c r="H46" s="51">
        <f t="shared" si="7"/>
        <v>24.334507408998139</v>
      </c>
      <c r="I46" s="51">
        <f t="shared" si="8"/>
        <v>22.387165284476112</v>
      </c>
    </row>
    <row r="47" spans="1:9" x14ac:dyDescent="0.25">
      <c r="A47" s="50">
        <v>2049</v>
      </c>
      <c r="B47" s="51">
        <f t="shared" si="1"/>
        <v>29.060762598668369</v>
      </c>
      <c r="C47" s="51">
        <f t="shared" si="2"/>
        <v>28.54906407171763</v>
      </c>
      <c r="D47" s="51">
        <f t="shared" si="3"/>
        <v>27.960860114097258</v>
      </c>
      <c r="E47" s="51">
        <f t="shared" si="4"/>
        <v>25.592285846647865</v>
      </c>
      <c r="F47" s="51">
        <f t="shared" si="5"/>
        <v>26.100064774939508</v>
      </c>
      <c r="G47" s="51">
        <f t="shared" si="6"/>
        <v>25.658860941147875</v>
      </c>
      <c r="H47" s="51">
        <f t="shared" si="7"/>
        <v>24.334507408998139</v>
      </c>
      <c r="I47" s="51">
        <f t="shared" si="8"/>
        <v>22.387165284476112</v>
      </c>
    </row>
    <row r="48" spans="1:9" x14ac:dyDescent="0.25">
      <c r="A48" s="50">
        <v>2050</v>
      </c>
      <c r="B48" s="51">
        <f t="shared" si="1"/>
        <v>29.060762598668369</v>
      </c>
      <c r="C48" s="51">
        <f t="shared" si="2"/>
        <v>28.54906407171763</v>
      </c>
      <c r="D48" s="51">
        <f t="shared" si="3"/>
        <v>27.960860114097258</v>
      </c>
      <c r="E48" s="51">
        <f t="shared" si="4"/>
        <v>25.592285846647865</v>
      </c>
      <c r="F48" s="51">
        <f t="shared" si="5"/>
        <v>26.100064774939508</v>
      </c>
      <c r="G48" s="51">
        <f t="shared" si="6"/>
        <v>25.658860941147875</v>
      </c>
      <c r="H48" s="51">
        <f t="shared" si="7"/>
        <v>24.334507408998139</v>
      </c>
      <c r="I48" s="51">
        <f t="shared" si="8"/>
        <v>22.387165284476112</v>
      </c>
    </row>
    <row r="49" spans="1:9" x14ac:dyDescent="0.25">
      <c r="A49" s="50">
        <v>2051</v>
      </c>
      <c r="B49" s="51">
        <f t="shared" si="1"/>
        <v>29.060762598668369</v>
      </c>
      <c r="C49" s="51">
        <f t="shared" si="2"/>
        <v>28.54906407171763</v>
      </c>
      <c r="D49" s="51">
        <f t="shared" si="3"/>
        <v>27.960860114097258</v>
      </c>
      <c r="E49" s="51">
        <f t="shared" si="4"/>
        <v>25.592285846647865</v>
      </c>
      <c r="F49" s="51">
        <f t="shared" si="5"/>
        <v>26.100064774939508</v>
      </c>
      <c r="G49" s="51">
        <f t="shared" si="6"/>
        <v>25.658860941147875</v>
      </c>
      <c r="H49" s="51">
        <f t="shared" si="7"/>
        <v>24.334507408998139</v>
      </c>
      <c r="I49" s="51">
        <f t="shared" si="8"/>
        <v>22.387165284476112</v>
      </c>
    </row>
    <row r="50" spans="1:9" x14ac:dyDescent="0.25">
      <c r="A50" s="50">
        <v>2052</v>
      </c>
      <c r="B50" s="51">
        <f t="shared" si="1"/>
        <v>29.060762598668369</v>
      </c>
      <c r="C50" s="51">
        <f t="shared" si="2"/>
        <v>28.54906407171763</v>
      </c>
      <c r="D50" s="51">
        <f t="shared" si="3"/>
        <v>27.960860114097258</v>
      </c>
      <c r="E50" s="51">
        <f t="shared" si="4"/>
        <v>25.592285846647865</v>
      </c>
      <c r="F50" s="51">
        <f t="shared" si="5"/>
        <v>26.100064774939508</v>
      </c>
      <c r="G50" s="51">
        <f t="shared" si="6"/>
        <v>25.658860941147875</v>
      </c>
      <c r="H50" s="51">
        <f t="shared" si="7"/>
        <v>24.334507408998139</v>
      </c>
      <c r="I50" s="51">
        <f t="shared" si="8"/>
        <v>22.387165284476112</v>
      </c>
    </row>
    <row r="51" spans="1:9" x14ac:dyDescent="0.25">
      <c r="A51" s="50">
        <v>2053</v>
      </c>
      <c r="B51" s="51">
        <f t="shared" si="1"/>
        <v>29.060762598668369</v>
      </c>
      <c r="C51" s="51">
        <f t="shared" si="2"/>
        <v>28.54906407171763</v>
      </c>
      <c r="D51" s="51">
        <f t="shared" si="3"/>
        <v>27.960860114097258</v>
      </c>
      <c r="E51" s="51">
        <f t="shared" si="4"/>
        <v>25.592285846647865</v>
      </c>
      <c r="F51" s="51">
        <f t="shared" si="5"/>
        <v>26.100064774939508</v>
      </c>
      <c r="G51" s="51">
        <f t="shared" si="6"/>
        <v>25.658860941147875</v>
      </c>
      <c r="H51" s="51">
        <f t="shared" si="7"/>
        <v>24.334507408998139</v>
      </c>
      <c r="I51" s="51">
        <f t="shared" si="8"/>
        <v>22.387165284476112</v>
      </c>
    </row>
    <row r="52" spans="1:9" x14ac:dyDescent="0.25">
      <c r="A52" s="50">
        <v>2054</v>
      </c>
      <c r="B52" s="51">
        <f t="shared" si="1"/>
        <v>29.060762598668369</v>
      </c>
      <c r="C52" s="51">
        <f t="shared" si="2"/>
        <v>28.54906407171763</v>
      </c>
      <c r="D52" s="51">
        <f t="shared" si="3"/>
        <v>27.960860114097258</v>
      </c>
      <c r="E52" s="51">
        <f t="shared" si="4"/>
        <v>25.592285846647865</v>
      </c>
      <c r="F52" s="51">
        <f t="shared" si="5"/>
        <v>26.100064774939508</v>
      </c>
      <c r="G52" s="51">
        <f t="shared" si="6"/>
        <v>25.658860941147875</v>
      </c>
      <c r="H52" s="51">
        <f t="shared" si="7"/>
        <v>24.334507408998139</v>
      </c>
      <c r="I52" s="51">
        <f t="shared" si="8"/>
        <v>22.387165284476112</v>
      </c>
    </row>
    <row r="53" spans="1:9" x14ac:dyDescent="0.25">
      <c r="A53" s="50">
        <v>2055</v>
      </c>
      <c r="B53" s="51">
        <f t="shared" si="1"/>
        <v>29.060762598668369</v>
      </c>
      <c r="C53" s="51">
        <f t="shared" si="2"/>
        <v>28.54906407171763</v>
      </c>
      <c r="D53" s="51">
        <f t="shared" si="3"/>
        <v>27.960860114097258</v>
      </c>
      <c r="E53" s="51">
        <f t="shared" si="4"/>
        <v>25.592285846647865</v>
      </c>
      <c r="F53" s="51">
        <f t="shared" si="5"/>
        <v>26.100064774939508</v>
      </c>
      <c r="G53" s="51">
        <f t="shared" si="6"/>
        <v>25.658860941147875</v>
      </c>
      <c r="H53" s="51">
        <f t="shared" si="7"/>
        <v>24.334507408998139</v>
      </c>
      <c r="I53" s="51">
        <f t="shared" si="8"/>
        <v>22.387165284476112</v>
      </c>
    </row>
    <row r="54" spans="1:9" x14ac:dyDescent="0.25">
      <c r="A54" s="50">
        <v>2056</v>
      </c>
      <c r="B54" s="51">
        <f t="shared" si="1"/>
        <v>29.060762598668369</v>
      </c>
      <c r="C54" s="51">
        <f t="shared" si="2"/>
        <v>28.54906407171763</v>
      </c>
      <c r="D54" s="51">
        <f t="shared" si="3"/>
        <v>27.960860114097258</v>
      </c>
      <c r="E54" s="51">
        <f t="shared" si="4"/>
        <v>25.592285846647865</v>
      </c>
      <c r="F54" s="51">
        <f t="shared" si="5"/>
        <v>26.100064774939508</v>
      </c>
      <c r="G54" s="51">
        <f t="shared" si="6"/>
        <v>25.658860941147875</v>
      </c>
      <c r="H54" s="51">
        <f t="shared" si="7"/>
        <v>24.334507408998139</v>
      </c>
      <c r="I54" s="51">
        <f t="shared" si="8"/>
        <v>22.387165284476112</v>
      </c>
    </row>
    <row r="55" spans="1:9" x14ac:dyDescent="0.25">
      <c r="A55" s="50">
        <v>2057</v>
      </c>
      <c r="B55" s="51">
        <f t="shared" si="1"/>
        <v>29.060762598668369</v>
      </c>
      <c r="C55" s="51">
        <f t="shared" si="2"/>
        <v>28.54906407171763</v>
      </c>
      <c r="D55" s="51">
        <f t="shared" si="3"/>
        <v>27.960860114097258</v>
      </c>
      <c r="E55" s="51">
        <f t="shared" si="4"/>
        <v>25.592285846647865</v>
      </c>
      <c r="F55" s="51">
        <f t="shared" si="5"/>
        <v>26.100064774939508</v>
      </c>
      <c r="G55" s="51">
        <f t="shared" si="6"/>
        <v>25.658860941147875</v>
      </c>
      <c r="H55" s="51">
        <f t="shared" si="7"/>
        <v>24.334507408998139</v>
      </c>
      <c r="I55" s="51">
        <f t="shared" si="8"/>
        <v>22.387165284476112</v>
      </c>
    </row>
    <row r="56" spans="1:9" x14ac:dyDescent="0.25">
      <c r="A56" s="50">
        <v>2058</v>
      </c>
      <c r="B56" s="51">
        <f t="shared" si="1"/>
        <v>29.060762598668369</v>
      </c>
      <c r="C56" s="51">
        <f t="shared" si="2"/>
        <v>28.54906407171763</v>
      </c>
      <c r="D56" s="51">
        <f t="shared" si="3"/>
        <v>27.960860114097258</v>
      </c>
      <c r="E56" s="51">
        <f t="shared" si="4"/>
        <v>25.592285846647865</v>
      </c>
      <c r="F56" s="51">
        <f t="shared" si="5"/>
        <v>26.100064774939508</v>
      </c>
      <c r="G56" s="51">
        <f t="shared" si="6"/>
        <v>25.658860941147875</v>
      </c>
      <c r="H56" s="51">
        <f t="shared" si="7"/>
        <v>24.334507408998139</v>
      </c>
      <c r="I56" s="51">
        <f t="shared" si="8"/>
        <v>22.387165284476112</v>
      </c>
    </row>
    <row r="57" spans="1:9" x14ac:dyDescent="0.25">
      <c r="A57" s="50">
        <v>2059</v>
      </c>
      <c r="B57" s="51">
        <f t="shared" si="1"/>
        <v>29.060762598668369</v>
      </c>
      <c r="C57" s="51">
        <f t="shared" si="2"/>
        <v>28.54906407171763</v>
      </c>
      <c r="D57" s="51">
        <f t="shared" si="3"/>
        <v>27.960860114097258</v>
      </c>
      <c r="E57" s="51">
        <f t="shared" si="4"/>
        <v>25.592285846647865</v>
      </c>
      <c r="F57" s="51">
        <f t="shared" si="5"/>
        <v>26.100064774939508</v>
      </c>
      <c r="G57" s="51">
        <f t="shared" si="6"/>
        <v>25.658860941147875</v>
      </c>
      <c r="H57" s="51">
        <f t="shared" si="7"/>
        <v>24.334507408998139</v>
      </c>
      <c r="I57" s="51">
        <f t="shared" si="8"/>
        <v>22.387165284476112</v>
      </c>
    </row>
    <row r="58" spans="1:9" x14ac:dyDescent="0.25">
      <c r="A58" s="50">
        <v>2060</v>
      </c>
      <c r="B58" s="51">
        <f t="shared" si="1"/>
        <v>29.060762598668369</v>
      </c>
      <c r="C58" s="51">
        <f t="shared" si="2"/>
        <v>28.54906407171763</v>
      </c>
      <c r="D58" s="51">
        <f t="shared" si="3"/>
        <v>27.960860114097258</v>
      </c>
      <c r="E58" s="51">
        <f t="shared" si="4"/>
        <v>25.592285846647865</v>
      </c>
      <c r="F58" s="51">
        <f t="shared" si="5"/>
        <v>26.100064774939508</v>
      </c>
      <c r="G58" s="51">
        <f t="shared" si="6"/>
        <v>25.658860941147875</v>
      </c>
      <c r="H58" s="51">
        <f t="shared" si="7"/>
        <v>24.334507408998139</v>
      </c>
      <c r="I58" s="51">
        <f t="shared" si="8"/>
        <v>22.387165284476112</v>
      </c>
    </row>
    <row r="59" spans="1:9" x14ac:dyDescent="0.25">
      <c r="A59" s="50">
        <v>2061</v>
      </c>
      <c r="B59" s="51">
        <f t="shared" si="1"/>
        <v>29.060762598668369</v>
      </c>
      <c r="C59" s="51">
        <f t="shared" si="2"/>
        <v>28.54906407171763</v>
      </c>
      <c r="D59" s="51">
        <f t="shared" si="3"/>
        <v>27.960860114097258</v>
      </c>
      <c r="E59" s="51">
        <f t="shared" si="4"/>
        <v>25.592285846647865</v>
      </c>
      <c r="F59" s="51">
        <f t="shared" si="5"/>
        <v>26.100064774939508</v>
      </c>
      <c r="G59" s="51">
        <f t="shared" si="6"/>
        <v>25.658860941147875</v>
      </c>
      <c r="H59" s="51">
        <f t="shared" si="7"/>
        <v>24.334507408998139</v>
      </c>
      <c r="I59" s="51">
        <f t="shared" si="8"/>
        <v>22.387165284476112</v>
      </c>
    </row>
    <row r="60" spans="1:9" x14ac:dyDescent="0.25">
      <c r="A60" s="50">
        <v>2062</v>
      </c>
      <c r="B60" s="51">
        <f t="shared" si="1"/>
        <v>29.060762598668369</v>
      </c>
      <c r="C60" s="51">
        <f t="shared" si="2"/>
        <v>28.54906407171763</v>
      </c>
      <c r="D60" s="51">
        <f t="shared" si="3"/>
        <v>27.960860114097258</v>
      </c>
      <c r="E60" s="51">
        <f t="shared" si="4"/>
        <v>25.592285846647865</v>
      </c>
      <c r="F60" s="51">
        <f t="shared" si="5"/>
        <v>26.100064774939508</v>
      </c>
      <c r="G60" s="51">
        <f t="shared" si="6"/>
        <v>25.658860941147875</v>
      </c>
      <c r="H60" s="51">
        <f t="shared" si="7"/>
        <v>24.334507408998139</v>
      </c>
      <c r="I60" s="51">
        <f t="shared" si="8"/>
        <v>22.387165284476112</v>
      </c>
    </row>
    <row r="61" spans="1:9" x14ac:dyDescent="0.25">
      <c r="A61" s="50">
        <v>2063</v>
      </c>
      <c r="B61" s="51">
        <f t="shared" si="1"/>
        <v>29.060762598668369</v>
      </c>
      <c r="C61" s="51">
        <f t="shared" si="2"/>
        <v>28.54906407171763</v>
      </c>
      <c r="D61" s="51">
        <f t="shared" si="3"/>
        <v>27.960860114097258</v>
      </c>
      <c r="E61" s="51">
        <f t="shared" si="4"/>
        <v>25.592285846647865</v>
      </c>
      <c r="F61" s="51">
        <f t="shared" si="5"/>
        <v>26.100064774939508</v>
      </c>
      <c r="G61" s="51">
        <f t="shared" si="6"/>
        <v>25.658860941147875</v>
      </c>
      <c r="H61" s="51">
        <f t="shared" si="7"/>
        <v>24.334507408998139</v>
      </c>
      <c r="I61" s="51">
        <f t="shared" si="8"/>
        <v>22.387165284476112</v>
      </c>
    </row>
    <row r="62" spans="1:9" x14ac:dyDescent="0.25">
      <c r="A62" s="50">
        <v>2064</v>
      </c>
      <c r="B62" s="51">
        <f t="shared" si="1"/>
        <v>29.060762598668369</v>
      </c>
      <c r="C62" s="51">
        <f t="shared" si="2"/>
        <v>28.54906407171763</v>
      </c>
      <c r="D62" s="51">
        <f t="shared" si="3"/>
        <v>27.960860114097258</v>
      </c>
      <c r="E62" s="51">
        <f t="shared" si="4"/>
        <v>25.592285846647865</v>
      </c>
      <c r="F62" s="51">
        <f t="shared" si="5"/>
        <v>26.100064774939508</v>
      </c>
      <c r="G62" s="51">
        <f t="shared" si="6"/>
        <v>25.658860941147875</v>
      </c>
      <c r="H62" s="51">
        <f t="shared" si="7"/>
        <v>24.334507408998139</v>
      </c>
      <c r="I62" s="51">
        <f t="shared" si="8"/>
        <v>22.387165284476112</v>
      </c>
    </row>
    <row r="63" spans="1:9" x14ac:dyDescent="0.25">
      <c r="A63" s="50">
        <v>2065</v>
      </c>
      <c r="B63" s="51">
        <f t="shared" si="1"/>
        <v>29.060762598668369</v>
      </c>
      <c r="C63" s="51">
        <f t="shared" si="2"/>
        <v>28.54906407171763</v>
      </c>
      <c r="D63" s="51">
        <f t="shared" si="3"/>
        <v>27.960860114097258</v>
      </c>
      <c r="E63" s="51">
        <f t="shared" si="4"/>
        <v>25.592285846647865</v>
      </c>
      <c r="F63" s="51">
        <f t="shared" si="5"/>
        <v>26.100064774939508</v>
      </c>
      <c r="G63" s="51">
        <f t="shared" si="6"/>
        <v>25.658860941147875</v>
      </c>
      <c r="H63" s="51">
        <f t="shared" si="7"/>
        <v>24.334507408998139</v>
      </c>
      <c r="I63" s="51">
        <f t="shared" si="8"/>
        <v>22.387165284476112</v>
      </c>
    </row>
    <row r="64" spans="1:9" x14ac:dyDescent="0.25">
      <c r="A64" s="50">
        <v>2066</v>
      </c>
      <c r="B64" s="51">
        <f t="shared" si="1"/>
        <v>29.060762598668369</v>
      </c>
      <c r="C64" s="51">
        <f t="shared" si="2"/>
        <v>28.54906407171763</v>
      </c>
      <c r="D64" s="51">
        <f t="shared" si="3"/>
        <v>27.960860114097258</v>
      </c>
      <c r="E64" s="51">
        <f t="shared" si="4"/>
        <v>25.592285846647865</v>
      </c>
      <c r="F64" s="51">
        <f t="shared" si="5"/>
        <v>26.100064774939508</v>
      </c>
      <c r="G64" s="51">
        <f t="shared" si="6"/>
        <v>25.658860941147875</v>
      </c>
      <c r="H64" s="51">
        <f t="shared" si="7"/>
        <v>24.334507408998139</v>
      </c>
      <c r="I64" s="51">
        <f t="shared" si="8"/>
        <v>22.387165284476112</v>
      </c>
    </row>
  </sheetData>
  <mergeCells count="3">
    <mergeCell ref="B1:I1"/>
    <mergeCell ref="B2:E2"/>
    <mergeCell ref="F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theme="5" tint="0.79998168889431442"/>
  </sheetPr>
  <dimension ref="A1:C20"/>
  <sheetViews>
    <sheetView workbookViewId="0">
      <selection activeCell="G26" sqref="G26"/>
    </sheetView>
  </sheetViews>
  <sheetFormatPr baseColWidth="10" defaultColWidth="11.42578125" defaultRowHeight="15" x14ac:dyDescent="0.25"/>
  <cols>
    <col min="1" max="1" width="29.5703125" style="1" customWidth="1"/>
    <col min="2" max="16384" width="11.42578125" style="1"/>
  </cols>
  <sheetData>
    <row r="1" spans="1:3" x14ac:dyDescent="0.25">
      <c r="A1" s="167" t="s">
        <v>173</v>
      </c>
      <c r="B1" s="167"/>
      <c r="C1" s="167"/>
    </row>
    <row r="2" spans="1:3" x14ac:dyDescent="0.25">
      <c r="A2" s="40" t="s">
        <v>25</v>
      </c>
      <c r="B2" s="40" t="s">
        <v>170</v>
      </c>
      <c r="C2" s="40" t="s">
        <v>171</v>
      </c>
    </row>
    <row r="3" spans="1:3" x14ac:dyDescent="0.25">
      <c r="A3" s="50" t="s">
        <v>174</v>
      </c>
      <c r="B3" s="137">
        <v>1366.1662579272872</v>
      </c>
      <c r="C3" s="137">
        <v>1174.9969048838984</v>
      </c>
    </row>
    <row r="4" spans="1:3" x14ac:dyDescent="0.25">
      <c r="A4" s="50" t="s">
        <v>175</v>
      </c>
      <c r="B4" s="137">
        <v>1165.0355279601802</v>
      </c>
      <c r="C4" s="137">
        <v>1068.1621605212383</v>
      </c>
    </row>
    <row r="5" spans="1:3" x14ac:dyDescent="0.25">
      <c r="A5" s="50" t="s">
        <v>176</v>
      </c>
      <c r="B5" s="137">
        <v>1107.3789036558217</v>
      </c>
      <c r="C5" s="137">
        <v>1074.4014034970878</v>
      </c>
    </row>
    <row r="6" spans="1:3" x14ac:dyDescent="0.25">
      <c r="A6" s="50" t="s">
        <v>177</v>
      </c>
      <c r="B6" s="137">
        <v>1231.2237440427343</v>
      </c>
      <c r="C6" s="137">
        <v>1108.0212791989068</v>
      </c>
    </row>
    <row r="7" spans="1:3" x14ac:dyDescent="0.25">
      <c r="A7" s="50" t="s">
        <v>178</v>
      </c>
      <c r="B7" s="137">
        <v>1109.3316182850697</v>
      </c>
      <c r="C7" s="137">
        <v>1097.1929750242489</v>
      </c>
    </row>
    <row r="8" spans="1:3" x14ac:dyDescent="0.25">
      <c r="A8" s="50" t="s">
        <v>179</v>
      </c>
      <c r="B8" s="137">
        <v>964.03091341288132</v>
      </c>
      <c r="C8" s="137">
        <v>1046.1925529550133</v>
      </c>
    </row>
    <row r="9" spans="1:3" x14ac:dyDescent="0.25">
      <c r="A9" s="50" t="s">
        <v>180</v>
      </c>
      <c r="B9" s="137">
        <v>1064.7378925452797</v>
      </c>
      <c r="C9" s="137">
        <v>970.01648989900889</v>
      </c>
    </row>
    <row r="10" spans="1:3" x14ac:dyDescent="0.25">
      <c r="A10" s="50" t="s">
        <v>181</v>
      </c>
      <c r="B10" s="137">
        <v>1205.8841876340673</v>
      </c>
      <c r="C10" s="137">
        <v>1042.6271355185738</v>
      </c>
    </row>
    <row r="11" spans="1:3" x14ac:dyDescent="0.25">
      <c r="A11" s="50" t="s">
        <v>182</v>
      </c>
      <c r="B11" s="137">
        <v>1259.8615326716688</v>
      </c>
      <c r="C11" s="137">
        <v>1139.8292336170528</v>
      </c>
    </row>
    <row r="12" spans="1:3" x14ac:dyDescent="0.25">
      <c r="A12" s="50" t="s">
        <v>183</v>
      </c>
      <c r="B12" s="137">
        <v>1349.5897415968498</v>
      </c>
      <c r="C12" s="137">
        <v>1179.6492304727499</v>
      </c>
    </row>
    <row r="13" spans="1:3" x14ac:dyDescent="0.25">
      <c r="A13" s="50" t="s">
        <v>184</v>
      </c>
      <c r="B13" s="137">
        <v>1114.9686319819812</v>
      </c>
      <c r="C13" s="137">
        <v>1121.2969098314829</v>
      </c>
    </row>
    <row r="14" spans="1:3" x14ac:dyDescent="0.25">
      <c r="A14" s="50" t="s">
        <v>185</v>
      </c>
      <c r="B14" s="137">
        <v>1482.3006675168815</v>
      </c>
      <c r="C14" s="137">
        <v>1234.77552058836</v>
      </c>
    </row>
    <row r="15" spans="1:3" x14ac:dyDescent="0.25">
      <c r="A15" s="50" t="s">
        <v>161</v>
      </c>
      <c r="B15" s="137">
        <v>1378.7940478249664</v>
      </c>
      <c r="C15" s="137">
        <v>1378.7940478249664</v>
      </c>
    </row>
    <row r="16" spans="1:3" x14ac:dyDescent="0.25">
      <c r="A16" s="50" t="s">
        <v>163</v>
      </c>
      <c r="B16" s="137">
        <v>1393.747038307886</v>
      </c>
      <c r="C16" s="137">
        <v>1393.747038307886</v>
      </c>
    </row>
    <row r="17" spans="1:3" x14ac:dyDescent="0.25">
      <c r="A17" s="50" t="s">
        <v>165</v>
      </c>
      <c r="B17" s="137">
        <v>1270.4882793341824</v>
      </c>
      <c r="C17" s="137">
        <v>1270.4882793341824</v>
      </c>
    </row>
    <row r="18" spans="1:3" x14ac:dyDescent="0.25">
      <c r="A18" s="50" t="s">
        <v>167</v>
      </c>
      <c r="B18" s="137">
        <v>1307.8876515738025</v>
      </c>
      <c r="C18" s="137">
        <v>1307.8876515738025</v>
      </c>
    </row>
    <row r="19" spans="1:3" x14ac:dyDescent="0.25">
      <c r="A19" s="50" t="s">
        <v>168</v>
      </c>
      <c r="B19" s="137">
        <v>1212.944550842232</v>
      </c>
      <c r="C19" s="137">
        <v>1212.944550842232</v>
      </c>
    </row>
    <row r="20" spans="1:3" x14ac:dyDescent="0.25">
      <c r="A20" s="50" t="s">
        <v>169</v>
      </c>
      <c r="B20" s="137">
        <v>1368.8558039538079</v>
      </c>
      <c r="C20" s="137">
        <v>1368.8558039538079</v>
      </c>
    </row>
  </sheetData>
  <mergeCells count="1"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theme="5" tint="0.79998168889431442"/>
  </sheetPr>
  <dimension ref="A1:C63"/>
  <sheetViews>
    <sheetView workbookViewId="0">
      <selection activeCell="G26" sqref="G26"/>
    </sheetView>
  </sheetViews>
  <sheetFormatPr baseColWidth="10" defaultColWidth="11.42578125" defaultRowHeight="15" x14ac:dyDescent="0.25"/>
  <cols>
    <col min="1" max="16384" width="11.42578125" style="144"/>
  </cols>
  <sheetData>
    <row r="1" spans="1:3" x14ac:dyDescent="0.25">
      <c r="A1" s="168" t="s">
        <v>186</v>
      </c>
      <c r="B1" s="168"/>
      <c r="C1" s="168"/>
    </row>
    <row r="2" spans="1:3" ht="15" customHeight="1" x14ac:dyDescent="0.25">
      <c r="A2" s="168"/>
      <c r="B2" s="168"/>
      <c r="C2" s="168"/>
    </row>
    <row r="3" spans="1:3" ht="22.5" customHeight="1" x14ac:dyDescent="0.25">
      <c r="A3" s="145"/>
      <c r="B3" s="146" t="s">
        <v>187</v>
      </c>
      <c r="C3" s="146" t="s">
        <v>92</v>
      </c>
    </row>
    <row r="4" spans="1:3" x14ac:dyDescent="0.25">
      <c r="A4" s="147" t="s">
        <v>160</v>
      </c>
      <c r="B4" s="148">
        <v>0.15266127802348634</v>
      </c>
      <c r="C4" s="149">
        <v>0.15266127802348636</v>
      </c>
    </row>
    <row r="5" spans="1:3" x14ac:dyDescent="0.25">
      <c r="A5" s="147" t="s">
        <v>162</v>
      </c>
      <c r="B5" s="148">
        <v>0.15266127802348634</v>
      </c>
      <c r="C5" s="149">
        <v>0.15266127802348636</v>
      </c>
    </row>
    <row r="6" spans="1:3" x14ac:dyDescent="0.25">
      <c r="A6" s="147" t="s">
        <v>164</v>
      </c>
      <c r="B6" s="148">
        <v>0.15266127802348634</v>
      </c>
      <c r="C6" s="149">
        <v>0.15266127802348636</v>
      </c>
    </row>
    <row r="7" spans="1:3" x14ac:dyDescent="0.25">
      <c r="A7" s="147" t="s">
        <v>166</v>
      </c>
      <c r="B7" s="148">
        <v>0.15266127802348634</v>
      </c>
      <c r="C7" s="149">
        <v>0.15266127802348636</v>
      </c>
    </row>
    <row r="8" spans="1:3" x14ac:dyDescent="0.25">
      <c r="A8" s="147" t="s">
        <v>94</v>
      </c>
      <c r="B8" s="148">
        <v>0.15266127802348634</v>
      </c>
      <c r="C8" s="149">
        <v>0.15266127802348636</v>
      </c>
    </row>
    <row r="9" spans="1:3" x14ac:dyDescent="0.25">
      <c r="A9" s="147" t="s">
        <v>95</v>
      </c>
      <c r="B9" s="148">
        <v>0.15266127802348634</v>
      </c>
      <c r="C9" s="149">
        <v>0.15266127802348636</v>
      </c>
    </row>
    <row r="10" spans="1:3" x14ac:dyDescent="0.25">
      <c r="A10" s="147" t="s">
        <v>96</v>
      </c>
      <c r="B10" s="148">
        <v>0.15266127802348634</v>
      </c>
      <c r="C10" s="149">
        <v>0.15266127802348636</v>
      </c>
    </row>
    <row r="11" spans="1:3" x14ac:dyDescent="0.25">
      <c r="A11" s="147" t="s">
        <v>97</v>
      </c>
      <c r="B11" s="148">
        <v>0.15266127802348634</v>
      </c>
      <c r="C11" s="149">
        <v>0.15266127802348636</v>
      </c>
    </row>
    <row r="12" spans="1:3" x14ac:dyDescent="0.25">
      <c r="A12" s="147" t="s">
        <v>98</v>
      </c>
      <c r="B12" s="148">
        <v>0.15008955772456917</v>
      </c>
      <c r="C12" s="149">
        <v>0.15008955772456919</v>
      </c>
    </row>
    <row r="13" spans="1:3" x14ac:dyDescent="0.25">
      <c r="A13" s="147" t="s">
        <v>99</v>
      </c>
      <c r="B13" s="148">
        <v>0.15008955772456917</v>
      </c>
      <c r="C13" s="149">
        <v>0.15008955772456919</v>
      </c>
    </row>
    <row r="14" spans="1:3" x14ac:dyDescent="0.25">
      <c r="A14" s="147" t="s">
        <v>100</v>
      </c>
      <c r="B14" s="148">
        <v>0.15330546896446548</v>
      </c>
      <c r="C14" s="149">
        <v>0.15330546896446548</v>
      </c>
    </row>
    <row r="15" spans="1:3" x14ac:dyDescent="0.25">
      <c r="A15" s="147" t="s">
        <v>101</v>
      </c>
      <c r="B15" s="148">
        <v>0.15330546896446548</v>
      </c>
      <c r="C15" s="149">
        <v>0.15330546896446548</v>
      </c>
    </row>
    <row r="16" spans="1:3" x14ac:dyDescent="0.25">
      <c r="A16" s="147" t="s">
        <v>102</v>
      </c>
      <c r="B16" s="148">
        <v>0.15073374866554828</v>
      </c>
      <c r="C16" s="149">
        <v>0.15073374866554828</v>
      </c>
    </row>
    <row r="17" spans="1:3" x14ac:dyDescent="0.25">
      <c r="A17" s="147" t="s">
        <v>103</v>
      </c>
      <c r="B17" s="148">
        <v>0.15073374866554828</v>
      </c>
      <c r="C17" s="149">
        <v>0.15073374866554828</v>
      </c>
    </row>
    <row r="18" spans="1:3" x14ac:dyDescent="0.25">
      <c r="A18" s="147" t="s">
        <v>104</v>
      </c>
      <c r="B18" s="148">
        <v>0.14816202836663109</v>
      </c>
      <c r="C18" s="149">
        <v>0.14816202836663109</v>
      </c>
    </row>
    <row r="19" spans="1:3" x14ac:dyDescent="0.25">
      <c r="A19" s="147" t="s">
        <v>105</v>
      </c>
      <c r="B19" s="148">
        <v>0.14816202836663109</v>
      </c>
      <c r="C19" s="149">
        <v>0.14816202836663109</v>
      </c>
    </row>
    <row r="20" spans="1:3" x14ac:dyDescent="0.25">
      <c r="A20" s="147" t="s">
        <v>106</v>
      </c>
      <c r="B20" s="148">
        <v>0.14559030806771392</v>
      </c>
      <c r="C20" s="149">
        <v>0.14559030806771389</v>
      </c>
    </row>
    <row r="21" spans="1:3" x14ac:dyDescent="0.25">
      <c r="A21" s="147" t="s">
        <v>107</v>
      </c>
      <c r="B21" s="148">
        <v>0.14559030806771392</v>
      </c>
      <c r="C21" s="149">
        <v>0.14559030806771389</v>
      </c>
    </row>
    <row r="22" spans="1:3" x14ac:dyDescent="0.25">
      <c r="A22" s="147" t="s">
        <v>108</v>
      </c>
      <c r="B22" s="148">
        <v>0.13838848253774594</v>
      </c>
      <c r="C22" s="149">
        <v>0.13838848253774594</v>
      </c>
    </row>
    <row r="23" spans="1:3" x14ac:dyDescent="0.25">
      <c r="A23" s="147" t="s">
        <v>109</v>
      </c>
      <c r="B23" s="148">
        <v>0.13838848253774594</v>
      </c>
      <c r="C23" s="149">
        <v>0.13838848253774594</v>
      </c>
    </row>
    <row r="24" spans="1:3" x14ac:dyDescent="0.25">
      <c r="A24" s="147" t="s">
        <v>110</v>
      </c>
      <c r="B24" s="148">
        <v>0.12917492755833462</v>
      </c>
      <c r="C24" s="149">
        <v>0.12917492755833462</v>
      </c>
    </row>
    <row r="25" spans="1:3" x14ac:dyDescent="0.25">
      <c r="A25" s="147" t="s">
        <v>111</v>
      </c>
      <c r="B25" s="148">
        <v>0.12917492755833462</v>
      </c>
      <c r="C25" s="149">
        <v>0.12917492755833462</v>
      </c>
    </row>
    <row r="26" spans="1:3" x14ac:dyDescent="0.25">
      <c r="A26" s="147" t="s">
        <v>112</v>
      </c>
      <c r="B26" s="148">
        <v>0.10614610340094555</v>
      </c>
      <c r="C26" s="149">
        <v>0.11</v>
      </c>
    </row>
    <row r="27" spans="1:3" x14ac:dyDescent="0.25">
      <c r="A27" s="147" t="s">
        <v>113</v>
      </c>
      <c r="B27" s="148">
        <v>0.10614610340094555</v>
      </c>
      <c r="C27" s="149">
        <v>0.11</v>
      </c>
    </row>
    <row r="28" spans="1:3" x14ac:dyDescent="0.25">
      <c r="A28" s="147" t="s">
        <v>114</v>
      </c>
      <c r="B28" s="148">
        <v>0.10380612674651868</v>
      </c>
      <c r="C28" s="149">
        <v>0.11</v>
      </c>
    </row>
    <row r="29" spans="1:3" x14ac:dyDescent="0.25">
      <c r="A29" s="147" t="s">
        <v>115</v>
      </c>
      <c r="B29" s="148">
        <v>0.10380612674651868</v>
      </c>
      <c r="C29" s="149">
        <v>0.11</v>
      </c>
    </row>
    <row r="30" spans="1:3" x14ac:dyDescent="0.25">
      <c r="A30" s="147" t="s">
        <v>116</v>
      </c>
      <c r="B30" s="148">
        <v>0.10146615009209184</v>
      </c>
      <c r="C30" s="149">
        <v>0.11</v>
      </c>
    </row>
    <row r="31" spans="1:3" x14ac:dyDescent="0.25">
      <c r="A31" s="147" t="s">
        <v>117</v>
      </c>
      <c r="B31" s="148">
        <v>0.10146615009209184</v>
      </c>
      <c r="C31" s="149">
        <v>0.11</v>
      </c>
    </row>
    <row r="32" spans="1:3" x14ac:dyDescent="0.25">
      <c r="A32" s="147" t="s">
        <v>118</v>
      </c>
      <c r="B32" s="148">
        <v>9.9126173437664958E-2</v>
      </c>
      <c r="C32" s="149">
        <v>0.11</v>
      </c>
    </row>
    <row r="33" spans="1:3" x14ac:dyDescent="0.25">
      <c r="A33" s="147" t="s">
        <v>119</v>
      </c>
      <c r="B33" s="148">
        <v>9.9126173437664958E-2</v>
      </c>
      <c r="C33" s="149">
        <v>0.11</v>
      </c>
    </row>
    <row r="34" spans="1:3" x14ac:dyDescent="0.25">
      <c r="A34" s="147" t="s">
        <v>120</v>
      </c>
      <c r="B34" s="148">
        <v>9.0756091552187321E-2</v>
      </c>
      <c r="C34" s="149">
        <v>0.11</v>
      </c>
    </row>
    <row r="35" spans="1:3" x14ac:dyDescent="0.25">
      <c r="A35" s="147" t="s">
        <v>121</v>
      </c>
      <c r="B35" s="148">
        <v>9.0756091552187321E-2</v>
      </c>
      <c r="C35" s="149">
        <v>0.11</v>
      </c>
    </row>
    <row r="36" spans="1:3" x14ac:dyDescent="0.25">
      <c r="A36" s="147" t="s">
        <v>122</v>
      </c>
      <c r="B36" s="148">
        <v>8.8416114897760467E-2</v>
      </c>
      <c r="C36" s="149">
        <v>0.11</v>
      </c>
    </row>
    <row r="37" spans="1:3" x14ac:dyDescent="0.25">
      <c r="A37" s="147" t="s">
        <v>123</v>
      </c>
      <c r="B37" s="148">
        <v>8.8416114897760467E-2</v>
      </c>
      <c r="C37" s="149">
        <v>0.11</v>
      </c>
    </row>
    <row r="38" spans="1:3" x14ac:dyDescent="0.25">
      <c r="A38" s="147" t="s">
        <v>124</v>
      </c>
      <c r="B38" s="148">
        <v>8.1903559320045505E-2</v>
      </c>
      <c r="C38" s="149">
        <v>0.11</v>
      </c>
    </row>
    <row r="39" spans="1:3" x14ac:dyDescent="0.25">
      <c r="A39" s="147" t="s">
        <v>125</v>
      </c>
      <c r="B39" s="148">
        <v>8.1903559320045505E-2</v>
      </c>
      <c r="C39" s="149">
        <v>0.11</v>
      </c>
    </row>
    <row r="40" spans="1:3" x14ac:dyDescent="0.25">
      <c r="A40" s="147" t="s">
        <v>126</v>
      </c>
      <c r="B40" s="148">
        <v>7.9563582665618651E-2</v>
      </c>
      <c r="C40" s="149">
        <v>0.11</v>
      </c>
    </row>
    <row r="41" spans="1:3" x14ac:dyDescent="0.25">
      <c r="A41" s="147" t="s">
        <v>127</v>
      </c>
      <c r="B41" s="148">
        <v>7.9563582665618651E-2</v>
      </c>
      <c r="C41" s="149">
        <v>0.11</v>
      </c>
    </row>
    <row r="42" spans="1:3" x14ac:dyDescent="0.25">
      <c r="A42" s="147" t="s">
        <v>128</v>
      </c>
      <c r="B42" s="148">
        <v>6.9578448164615614E-2</v>
      </c>
      <c r="C42" s="149">
        <v>0.11</v>
      </c>
    </row>
    <row r="43" spans="1:3" x14ac:dyDescent="0.25">
      <c r="A43" s="147" t="s">
        <v>129</v>
      </c>
      <c r="B43" s="148">
        <v>6.9578448164615614E-2</v>
      </c>
      <c r="C43" s="149">
        <v>0.11</v>
      </c>
    </row>
    <row r="44" spans="1:3" x14ac:dyDescent="0.25">
      <c r="A44" s="147" t="s">
        <v>130</v>
      </c>
      <c r="B44" s="148">
        <v>6.7238471510188746E-2</v>
      </c>
      <c r="C44" s="149">
        <v>0.11</v>
      </c>
    </row>
    <row r="45" spans="1:3" x14ac:dyDescent="0.25">
      <c r="A45" s="147" t="s">
        <v>131</v>
      </c>
      <c r="B45" s="148">
        <v>6.7238471510188746E-2</v>
      </c>
      <c r="C45" s="149">
        <v>0.11</v>
      </c>
    </row>
    <row r="46" spans="1:3" x14ac:dyDescent="0.25">
      <c r="A46" s="147" t="s">
        <v>132</v>
      </c>
      <c r="B46" s="148">
        <v>5.7280758085897623E-2</v>
      </c>
      <c r="C46" s="149">
        <v>0.11</v>
      </c>
    </row>
    <row r="47" spans="1:3" x14ac:dyDescent="0.25">
      <c r="A47" s="147" t="s">
        <v>133</v>
      </c>
      <c r="B47" s="148">
        <v>5.7280758085897623E-2</v>
      </c>
      <c r="C47" s="149">
        <v>0.11</v>
      </c>
    </row>
    <row r="48" spans="1:3" x14ac:dyDescent="0.25">
      <c r="A48" s="147" t="s">
        <v>134</v>
      </c>
      <c r="B48" s="148">
        <v>5.4940781431470756E-2</v>
      </c>
      <c r="C48" s="149">
        <v>0.11</v>
      </c>
    </row>
    <row r="49" spans="1:3" x14ac:dyDescent="0.25">
      <c r="A49" s="147" t="s">
        <v>135</v>
      </c>
      <c r="B49" s="148">
        <v>5.4940781431470756E-2</v>
      </c>
      <c r="C49" s="149">
        <v>0.11</v>
      </c>
    </row>
    <row r="50" spans="1:3" x14ac:dyDescent="0.25">
      <c r="A50" s="147" t="s">
        <v>136</v>
      </c>
      <c r="B50" s="148">
        <v>4.9128225853755807E-2</v>
      </c>
      <c r="C50" s="149">
        <v>0.11</v>
      </c>
    </row>
    <row r="51" spans="1:3" x14ac:dyDescent="0.25">
      <c r="A51" s="147" t="s">
        <v>137</v>
      </c>
      <c r="B51" s="148">
        <v>4.9128225853755807E-2</v>
      </c>
      <c r="C51" s="149">
        <v>0.11</v>
      </c>
    </row>
    <row r="52" spans="1:3" x14ac:dyDescent="0.25">
      <c r="A52" s="147" t="s">
        <v>138</v>
      </c>
      <c r="B52" s="148">
        <v>4.678824919932896E-2</v>
      </c>
      <c r="C52" s="149">
        <v>0.11</v>
      </c>
    </row>
    <row r="53" spans="1:3" x14ac:dyDescent="0.25">
      <c r="A53" s="147" t="s">
        <v>139</v>
      </c>
      <c r="B53" s="148">
        <v>4.678824919932896E-2</v>
      </c>
      <c r="C53" s="149">
        <v>0.11</v>
      </c>
    </row>
    <row r="54" spans="1:3" x14ac:dyDescent="0.25">
      <c r="A54" s="147" t="s">
        <v>140</v>
      </c>
      <c r="B54" s="148">
        <v>4.678824919932896E-2</v>
      </c>
      <c r="C54" s="149">
        <v>0.11</v>
      </c>
    </row>
    <row r="55" spans="1:3" x14ac:dyDescent="0.25">
      <c r="A55" s="147" t="s">
        <v>141</v>
      </c>
      <c r="B55" s="148">
        <v>4.678824919932896E-2</v>
      </c>
      <c r="C55" s="149">
        <v>0.11</v>
      </c>
    </row>
    <row r="56" spans="1:3" x14ac:dyDescent="0.25">
      <c r="A56" s="147" t="s">
        <v>142</v>
      </c>
      <c r="B56" s="148">
        <v>4.678824919932896E-2</v>
      </c>
      <c r="C56" s="149">
        <v>0.11</v>
      </c>
    </row>
    <row r="57" spans="1:3" x14ac:dyDescent="0.25">
      <c r="A57" s="147" t="s">
        <v>143</v>
      </c>
      <c r="B57" s="148">
        <v>4.678824919932896E-2</v>
      </c>
      <c r="C57" s="149">
        <v>0.11</v>
      </c>
    </row>
    <row r="58" spans="1:3" x14ac:dyDescent="0.25">
      <c r="A58" s="147" t="s">
        <v>144</v>
      </c>
      <c r="B58" s="148">
        <v>4.678824919932896E-2</v>
      </c>
      <c r="C58" s="149">
        <v>0.11</v>
      </c>
    </row>
    <row r="59" spans="1:3" x14ac:dyDescent="0.25">
      <c r="A59" s="147" t="s">
        <v>145</v>
      </c>
      <c r="B59" s="148">
        <v>4.678824919932896E-2</v>
      </c>
      <c r="C59" s="149">
        <v>0.11</v>
      </c>
    </row>
    <row r="60" spans="1:3" x14ac:dyDescent="0.25">
      <c r="A60" s="147" t="s">
        <v>146</v>
      </c>
      <c r="B60" s="148">
        <v>4.678824919932896E-2</v>
      </c>
      <c r="C60" s="149">
        <v>0.11</v>
      </c>
    </row>
    <row r="61" spans="1:3" x14ac:dyDescent="0.25">
      <c r="A61" s="147" t="s">
        <v>147</v>
      </c>
      <c r="B61" s="148">
        <v>4.678824919932896E-2</v>
      </c>
      <c r="C61" s="149">
        <v>0.11</v>
      </c>
    </row>
    <row r="62" spans="1:3" x14ac:dyDescent="0.25">
      <c r="A62" s="147" t="s">
        <v>148</v>
      </c>
      <c r="B62" s="148">
        <v>4.678824919932896E-2</v>
      </c>
      <c r="C62" s="149">
        <v>0.11</v>
      </c>
    </row>
    <row r="63" spans="1:3" x14ac:dyDescent="0.25">
      <c r="A63" s="147" t="s">
        <v>149</v>
      </c>
      <c r="B63" s="148">
        <v>4.678824919932896E-2</v>
      </c>
      <c r="C63" s="149">
        <v>0.11</v>
      </c>
    </row>
  </sheetData>
  <mergeCells count="1">
    <mergeCell ref="A1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5" tint="0.79998168889431442"/>
  </sheetPr>
  <dimension ref="A1:D101"/>
  <sheetViews>
    <sheetView workbookViewId="0">
      <selection activeCell="G26" sqref="G26"/>
    </sheetView>
  </sheetViews>
  <sheetFormatPr baseColWidth="10" defaultColWidth="11.42578125" defaultRowHeight="15" x14ac:dyDescent="0.25"/>
  <cols>
    <col min="1" max="16384" width="11.42578125" style="1"/>
  </cols>
  <sheetData>
    <row r="1" spans="1:4" ht="30" x14ac:dyDescent="0.25">
      <c r="A1" s="40" t="s">
        <v>188</v>
      </c>
      <c r="B1" s="40" t="s">
        <v>189</v>
      </c>
      <c r="C1" s="40" t="s">
        <v>25</v>
      </c>
      <c r="D1" s="41" t="s">
        <v>190</v>
      </c>
    </row>
    <row r="2" spans="1:4" x14ac:dyDescent="0.25">
      <c r="A2" s="147">
        <v>1</v>
      </c>
      <c r="B2" s="147" t="s">
        <v>191</v>
      </c>
      <c r="C2" s="147" t="s">
        <v>174</v>
      </c>
      <c r="D2" s="147">
        <v>1.0900000000000001</v>
      </c>
    </row>
    <row r="3" spans="1:4" x14ac:dyDescent="0.25">
      <c r="A3" s="147">
        <v>2</v>
      </c>
      <c r="B3" s="147" t="s">
        <v>192</v>
      </c>
      <c r="C3" s="147" t="s">
        <v>179</v>
      </c>
      <c r="D3" s="147">
        <v>1.1499999999999999</v>
      </c>
    </row>
    <row r="4" spans="1:4" x14ac:dyDescent="0.25">
      <c r="A4" s="147">
        <v>3</v>
      </c>
      <c r="B4" s="147" t="s">
        <v>193</v>
      </c>
      <c r="C4" s="147" t="s">
        <v>174</v>
      </c>
      <c r="D4" s="147">
        <v>1.0900000000000001</v>
      </c>
    </row>
    <row r="5" spans="1:4" x14ac:dyDescent="0.25">
      <c r="A5" s="147">
        <v>4</v>
      </c>
      <c r="B5" s="147" t="s">
        <v>194</v>
      </c>
      <c r="C5" s="147" t="s">
        <v>185</v>
      </c>
      <c r="D5" s="147">
        <v>1</v>
      </c>
    </row>
    <row r="6" spans="1:4" x14ac:dyDescent="0.25">
      <c r="A6" s="147">
        <v>5</v>
      </c>
      <c r="B6" s="147" t="s">
        <v>195</v>
      </c>
      <c r="C6" s="147" t="s">
        <v>185</v>
      </c>
      <c r="D6" s="147">
        <v>1</v>
      </c>
    </row>
    <row r="7" spans="1:4" x14ac:dyDescent="0.25">
      <c r="A7" s="147">
        <v>6</v>
      </c>
      <c r="B7" s="147" t="s">
        <v>196</v>
      </c>
      <c r="C7" s="147" t="s">
        <v>185</v>
      </c>
      <c r="D7" s="147">
        <v>1</v>
      </c>
    </row>
    <row r="8" spans="1:4" x14ac:dyDescent="0.25">
      <c r="A8" s="147">
        <v>7</v>
      </c>
      <c r="B8" s="147" t="s">
        <v>197</v>
      </c>
      <c r="C8" s="147" t="s">
        <v>174</v>
      </c>
      <c r="D8" s="147">
        <v>1.03</v>
      </c>
    </row>
    <row r="9" spans="1:4" x14ac:dyDescent="0.25">
      <c r="A9" s="147">
        <v>8</v>
      </c>
      <c r="B9" s="147" t="s">
        <v>198</v>
      </c>
      <c r="C9" s="147" t="s">
        <v>178</v>
      </c>
      <c r="D9" s="147">
        <v>1.1599999999999999</v>
      </c>
    </row>
    <row r="10" spans="1:4" x14ac:dyDescent="0.25">
      <c r="A10" s="147">
        <v>9</v>
      </c>
      <c r="B10" s="147" t="s">
        <v>199</v>
      </c>
      <c r="C10" s="147" t="s">
        <v>183</v>
      </c>
      <c r="D10" s="147">
        <v>1.05</v>
      </c>
    </row>
    <row r="11" spans="1:4" x14ac:dyDescent="0.25">
      <c r="A11" s="147">
        <v>10</v>
      </c>
      <c r="B11" s="147" t="s">
        <v>200</v>
      </c>
      <c r="C11" s="147" t="s">
        <v>178</v>
      </c>
      <c r="D11" s="147">
        <v>1.1299999999999999</v>
      </c>
    </row>
    <row r="12" spans="1:4" x14ac:dyDescent="0.25">
      <c r="A12" s="147">
        <v>11</v>
      </c>
      <c r="B12" s="147" t="s">
        <v>201</v>
      </c>
      <c r="C12" s="147" t="s">
        <v>183</v>
      </c>
      <c r="D12" s="147">
        <v>1.03</v>
      </c>
    </row>
    <row r="13" spans="1:4" x14ac:dyDescent="0.25">
      <c r="A13" s="147">
        <v>12</v>
      </c>
      <c r="B13" s="147" t="s">
        <v>202</v>
      </c>
      <c r="C13" s="147" t="s">
        <v>183</v>
      </c>
      <c r="D13" s="147">
        <v>1.02</v>
      </c>
    </row>
    <row r="14" spans="1:4" x14ac:dyDescent="0.25">
      <c r="A14" s="147">
        <v>13</v>
      </c>
      <c r="B14" s="147" t="s">
        <v>203</v>
      </c>
      <c r="C14" s="147" t="s">
        <v>185</v>
      </c>
      <c r="D14" s="147">
        <v>1</v>
      </c>
    </row>
    <row r="15" spans="1:4" x14ac:dyDescent="0.25">
      <c r="A15" s="147">
        <v>14</v>
      </c>
      <c r="B15" s="147" t="s">
        <v>204</v>
      </c>
      <c r="C15" s="147" t="s">
        <v>181</v>
      </c>
      <c r="D15" s="147">
        <v>1.17</v>
      </c>
    </row>
    <row r="16" spans="1:4" x14ac:dyDescent="0.25">
      <c r="A16" s="147">
        <v>15</v>
      </c>
      <c r="B16" s="147" t="s">
        <v>205</v>
      </c>
      <c r="C16" s="147" t="s">
        <v>174</v>
      </c>
      <c r="D16" s="147">
        <v>1.08</v>
      </c>
    </row>
    <row r="17" spans="1:4" x14ac:dyDescent="0.25">
      <c r="A17" s="147">
        <v>16</v>
      </c>
      <c r="B17" s="147" t="s">
        <v>206</v>
      </c>
      <c r="C17" s="147" t="s">
        <v>182</v>
      </c>
      <c r="D17" s="147">
        <v>1.08</v>
      </c>
    </row>
    <row r="18" spans="1:4" x14ac:dyDescent="0.25">
      <c r="A18" s="147">
        <v>17</v>
      </c>
      <c r="B18" s="147" t="s">
        <v>207</v>
      </c>
      <c r="C18" s="147" t="s">
        <v>182</v>
      </c>
      <c r="D18" s="147">
        <v>1.05</v>
      </c>
    </row>
    <row r="19" spans="1:4" x14ac:dyDescent="0.25">
      <c r="A19" s="147">
        <v>18</v>
      </c>
      <c r="B19" s="147" t="s">
        <v>208</v>
      </c>
      <c r="C19" s="147" t="s">
        <v>177</v>
      </c>
      <c r="D19" s="147">
        <v>1.0900000000000001</v>
      </c>
    </row>
    <row r="20" spans="1:4" x14ac:dyDescent="0.25">
      <c r="A20" s="147">
        <v>19</v>
      </c>
      <c r="B20" s="147" t="s">
        <v>209</v>
      </c>
      <c r="C20" s="147" t="s">
        <v>182</v>
      </c>
      <c r="D20" s="147">
        <v>1.07</v>
      </c>
    </row>
    <row r="21" spans="1:4" x14ac:dyDescent="0.25">
      <c r="A21" s="147">
        <v>21</v>
      </c>
      <c r="B21" s="147" t="s">
        <v>210</v>
      </c>
      <c r="C21" s="147" t="s">
        <v>175</v>
      </c>
      <c r="D21" s="147">
        <v>1.1299999999999999</v>
      </c>
    </row>
    <row r="22" spans="1:4" x14ac:dyDescent="0.25">
      <c r="A22" s="147">
        <v>22</v>
      </c>
      <c r="B22" s="147" t="s">
        <v>211</v>
      </c>
      <c r="C22" s="147" t="s">
        <v>176</v>
      </c>
      <c r="D22" s="147">
        <v>1.18</v>
      </c>
    </row>
    <row r="23" spans="1:4" x14ac:dyDescent="0.25">
      <c r="A23" s="147">
        <v>23</v>
      </c>
      <c r="B23" s="147" t="s">
        <v>212</v>
      </c>
      <c r="C23" s="147" t="s">
        <v>182</v>
      </c>
      <c r="D23" s="147">
        <v>1.0900000000000001</v>
      </c>
    </row>
    <row r="24" spans="1:4" x14ac:dyDescent="0.25">
      <c r="A24" s="147">
        <v>24</v>
      </c>
      <c r="B24" s="147" t="s">
        <v>213</v>
      </c>
      <c r="C24" s="147" t="s">
        <v>182</v>
      </c>
      <c r="D24" s="147">
        <v>1.06</v>
      </c>
    </row>
    <row r="25" spans="1:4" x14ac:dyDescent="0.25">
      <c r="A25" s="147">
        <v>25</v>
      </c>
      <c r="B25" s="147" t="s">
        <v>214</v>
      </c>
      <c r="C25" s="147" t="s">
        <v>175</v>
      </c>
      <c r="D25" s="147">
        <v>1.1299999999999999</v>
      </c>
    </row>
    <row r="26" spans="1:4" x14ac:dyDescent="0.25">
      <c r="A26" s="147">
        <v>26</v>
      </c>
      <c r="B26" s="147" t="s">
        <v>215</v>
      </c>
      <c r="C26" s="147" t="s">
        <v>174</v>
      </c>
      <c r="D26" s="147">
        <v>1.01</v>
      </c>
    </row>
    <row r="27" spans="1:4" x14ac:dyDescent="0.25">
      <c r="A27" s="147">
        <v>27</v>
      </c>
      <c r="B27" s="147" t="s">
        <v>216</v>
      </c>
      <c r="C27" s="147" t="s">
        <v>181</v>
      </c>
      <c r="D27" s="147">
        <v>1.1499999999999999</v>
      </c>
    </row>
    <row r="28" spans="1:4" x14ac:dyDescent="0.25">
      <c r="A28" s="147">
        <v>28</v>
      </c>
      <c r="B28" s="147" t="s">
        <v>217</v>
      </c>
      <c r="C28" s="147" t="s">
        <v>177</v>
      </c>
      <c r="D28" s="147">
        <v>1.1200000000000001</v>
      </c>
    </row>
    <row r="29" spans="1:4" x14ac:dyDescent="0.25">
      <c r="A29" s="147">
        <v>29</v>
      </c>
      <c r="B29" s="147" t="s">
        <v>218</v>
      </c>
      <c r="C29" s="147" t="s">
        <v>176</v>
      </c>
      <c r="D29" s="147">
        <v>1.1499999999999999</v>
      </c>
    </row>
    <row r="30" spans="1:4" x14ac:dyDescent="0.25">
      <c r="A30" s="147">
        <v>30</v>
      </c>
      <c r="B30" s="147" t="s">
        <v>219</v>
      </c>
      <c r="C30" s="147" t="s">
        <v>183</v>
      </c>
      <c r="D30" s="147">
        <v>1</v>
      </c>
    </row>
    <row r="31" spans="1:4" x14ac:dyDescent="0.25">
      <c r="A31" s="147">
        <v>31</v>
      </c>
      <c r="B31" s="147" t="s">
        <v>220</v>
      </c>
      <c r="C31" s="147" t="s">
        <v>183</v>
      </c>
      <c r="D31" s="147">
        <v>1.05</v>
      </c>
    </row>
    <row r="32" spans="1:4" x14ac:dyDescent="0.25">
      <c r="A32" s="147">
        <v>32</v>
      </c>
      <c r="B32" s="147" t="s">
        <v>221</v>
      </c>
      <c r="C32" s="147" t="s">
        <v>183</v>
      </c>
      <c r="D32" s="147">
        <v>1.04</v>
      </c>
    </row>
    <row r="33" spans="1:4" x14ac:dyDescent="0.25">
      <c r="A33" s="147">
        <v>33</v>
      </c>
      <c r="B33" s="147" t="s">
        <v>222</v>
      </c>
      <c r="C33" s="147" t="s">
        <v>182</v>
      </c>
      <c r="D33" s="147">
        <v>1.05</v>
      </c>
    </row>
    <row r="34" spans="1:4" x14ac:dyDescent="0.25">
      <c r="A34" s="147">
        <v>34</v>
      </c>
      <c r="B34" s="147" t="s">
        <v>223</v>
      </c>
      <c r="C34" s="147" t="s">
        <v>183</v>
      </c>
      <c r="D34" s="147">
        <v>1</v>
      </c>
    </row>
    <row r="35" spans="1:4" x14ac:dyDescent="0.25">
      <c r="A35" s="147">
        <v>35</v>
      </c>
      <c r="B35" s="147" t="s">
        <v>224</v>
      </c>
      <c r="C35" s="147" t="s">
        <v>176</v>
      </c>
      <c r="D35" s="147">
        <v>1.1299999999999999</v>
      </c>
    </row>
    <row r="36" spans="1:4" x14ac:dyDescent="0.25">
      <c r="A36" s="147">
        <v>36</v>
      </c>
      <c r="B36" s="147" t="s">
        <v>225</v>
      </c>
      <c r="C36" s="147" t="s">
        <v>177</v>
      </c>
      <c r="D36" s="147">
        <v>1.06</v>
      </c>
    </row>
    <row r="37" spans="1:4" x14ac:dyDescent="0.25">
      <c r="A37" s="147">
        <v>37</v>
      </c>
      <c r="B37" s="147" t="s">
        <v>226</v>
      </c>
      <c r="C37" s="147" t="s">
        <v>177</v>
      </c>
      <c r="D37" s="147">
        <v>1.1000000000000001</v>
      </c>
    </row>
    <row r="38" spans="1:4" x14ac:dyDescent="0.25">
      <c r="A38" s="147">
        <v>38</v>
      </c>
      <c r="B38" s="147" t="s">
        <v>227</v>
      </c>
      <c r="C38" s="147" t="s">
        <v>174</v>
      </c>
      <c r="D38" s="147">
        <v>1.06</v>
      </c>
    </row>
    <row r="39" spans="1:4" x14ac:dyDescent="0.25">
      <c r="A39" s="147">
        <v>39</v>
      </c>
      <c r="B39" s="147" t="s">
        <v>228</v>
      </c>
      <c r="C39" s="147" t="s">
        <v>175</v>
      </c>
      <c r="D39" s="147">
        <v>1.1000000000000001</v>
      </c>
    </row>
    <row r="40" spans="1:4" x14ac:dyDescent="0.25">
      <c r="A40" s="147">
        <v>40</v>
      </c>
      <c r="B40" s="147" t="s">
        <v>229</v>
      </c>
      <c r="C40" s="147" t="s">
        <v>182</v>
      </c>
      <c r="D40" s="147">
        <v>1.06</v>
      </c>
    </row>
    <row r="41" spans="1:4" x14ac:dyDescent="0.25">
      <c r="A41" s="147">
        <v>41</v>
      </c>
      <c r="B41" s="147" t="s">
        <v>230</v>
      </c>
      <c r="C41" s="147" t="s">
        <v>177</v>
      </c>
      <c r="D41" s="147">
        <v>1.1100000000000001</v>
      </c>
    </row>
    <row r="42" spans="1:4" x14ac:dyDescent="0.25">
      <c r="A42" s="147">
        <v>42</v>
      </c>
      <c r="B42" s="147" t="s">
        <v>231</v>
      </c>
      <c r="C42" s="147" t="s">
        <v>174</v>
      </c>
      <c r="D42" s="147">
        <v>1.0900000000000001</v>
      </c>
    </row>
    <row r="43" spans="1:4" x14ac:dyDescent="0.25">
      <c r="A43" s="147">
        <v>43</v>
      </c>
      <c r="B43" s="147" t="s">
        <v>232</v>
      </c>
      <c r="C43" s="147" t="s">
        <v>174</v>
      </c>
      <c r="D43" s="147">
        <v>1.08</v>
      </c>
    </row>
    <row r="44" spans="1:4" x14ac:dyDescent="0.25">
      <c r="A44" s="147">
        <v>44</v>
      </c>
      <c r="B44" s="147" t="s">
        <v>233</v>
      </c>
      <c r="C44" s="147" t="s">
        <v>184</v>
      </c>
      <c r="D44" s="147">
        <v>1.08</v>
      </c>
    </row>
    <row r="45" spans="1:4" x14ac:dyDescent="0.25">
      <c r="A45" s="147">
        <v>45</v>
      </c>
      <c r="B45" s="147" t="s">
        <v>234</v>
      </c>
      <c r="C45" s="147" t="s">
        <v>177</v>
      </c>
      <c r="D45" s="147">
        <v>1.1100000000000001</v>
      </c>
    </row>
    <row r="46" spans="1:4" x14ac:dyDescent="0.25">
      <c r="A46" s="147">
        <v>46</v>
      </c>
      <c r="B46" s="147" t="s">
        <v>235</v>
      </c>
      <c r="C46" s="147" t="s">
        <v>183</v>
      </c>
      <c r="D46" s="147">
        <v>1.05</v>
      </c>
    </row>
    <row r="47" spans="1:4" x14ac:dyDescent="0.25">
      <c r="A47" s="147">
        <v>47</v>
      </c>
      <c r="B47" s="147" t="s">
        <v>236</v>
      </c>
      <c r="C47" s="147" t="s">
        <v>182</v>
      </c>
      <c r="D47" s="147">
        <v>1.04</v>
      </c>
    </row>
    <row r="48" spans="1:4" x14ac:dyDescent="0.25">
      <c r="A48" s="147">
        <v>48</v>
      </c>
      <c r="B48" s="147" t="s">
        <v>237</v>
      </c>
      <c r="C48" s="147" t="s">
        <v>183</v>
      </c>
      <c r="D48" s="147">
        <v>1.05</v>
      </c>
    </row>
    <row r="49" spans="1:4" x14ac:dyDescent="0.25">
      <c r="A49" s="147">
        <v>49</v>
      </c>
      <c r="B49" s="147" t="s">
        <v>238</v>
      </c>
      <c r="C49" s="147" t="s">
        <v>184</v>
      </c>
      <c r="D49" s="147">
        <v>1.1000000000000001</v>
      </c>
    </row>
    <row r="50" spans="1:4" x14ac:dyDescent="0.25">
      <c r="A50" s="147">
        <v>50</v>
      </c>
      <c r="B50" s="147" t="s">
        <v>239</v>
      </c>
      <c r="C50" s="147" t="s">
        <v>181</v>
      </c>
      <c r="D50" s="147">
        <v>1.17</v>
      </c>
    </row>
    <row r="51" spans="1:4" x14ac:dyDescent="0.25">
      <c r="A51" s="147">
        <v>51</v>
      </c>
      <c r="B51" s="147" t="s">
        <v>240</v>
      </c>
      <c r="C51" s="147" t="s">
        <v>178</v>
      </c>
      <c r="D51" s="147">
        <v>1.1299999999999999</v>
      </c>
    </row>
    <row r="52" spans="1:4" x14ac:dyDescent="0.25">
      <c r="A52" s="147">
        <v>52</v>
      </c>
      <c r="B52" s="147" t="s">
        <v>241</v>
      </c>
      <c r="C52" s="147" t="s">
        <v>178</v>
      </c>
      <c r="D52" s="147">
        <v>1.1100000000000001</v>
      </c>
    </row>
    <row r="53" spans="1:4" x14ac:dyDescent="0.25">
      <c r="A53" s="147">
        <v>53</v>
      </c>
      <c r="B53" s="147" t="s">
        <v>242</v>
      </c>
      <c r="C53" s="147" t="s">
        <v>184</v>
      </c>
      <c r="D53" s="147">
        <v>1.1200000000000001</v>
      </c>
    </row>
    <row r="54" spans="1:4" x14ac:dyDescent="0.25">
      <c r="A54" s="147">
        <v>54</v>
      </c>
      <c r="B54" s="147" t="s">
        <v>243</v>
      </c>
      <c r="C54" s="147" t="s">
        <v>178</v>
      </c>
      <c r="D54" s="147">
        <v>1.18</v>
      </c>
    </row>
    <row r="55" spans="1:4" x14ac:dyDescent="0.25">
      <c r="A55" s="147">
        <v>55</v>
      </c>
      <c r="B55" s="147" t="s">
        <v>244</v>
      </c>
      <c r="C55" s="147" t="s">
        <v>178</v>
      </c>
      <c r="D55" s="147">
        <v>1.2</v>
      </c>
    </row>
    <row r="56" spans="1:4" x14ac:dyDescent="0.25">
      <c r="A56" s="147">
        <v>56</v>
      </c>
      <c r="B56" s="147" t="s">
        <v>245</v>
      </c>
      <c r="C56" s="147" t="s">
        <v>176</v>
      </c>
      <c r="D56" s="147">
        <v>1.1100000000000001</v>
      </c>
    </row>
    <row r="57" spans="1:4" x14ac:dyDescent="0.25">
      <c r="A57" s="147">
        <v>57</v>
      </c>
      <c r="B57" s="147" t="s">
        <v>246</v>
      </c>
      <c r="C57" s="147" t="s">
        <v>178</v>
      </c>
      <c r="D57" s="147">
        <v>1.19</v>
      </c>
    </row>
    <row r="58" spans="1:4" x14ac:dyDescent="0.25">
      <c r="A58" s="147">
        <v>58</v>
      </c>
      <c r="B58" s="147" t="s">
        <v>247</v>
      </c>
      <c r="C58" s="147" t="s">
        <v>175</v>
      </c>
      <c r="D58" s="147">
        <v>1.1200000000000001</v>
      </c>
    </row>
    <row r="59" spans="1:4" x14ac:dyDescent="0.25">
      <c r="A59" s="147">
        <v>59</v>
      </c>
      <c r="B59" s="147" t="s">
        <v>248</v>
      </c>
      <c r="C59" s="147" t="s">
        <v>179</v>
      </c>
      <c r="D59" s="147">
        <v>1.2</v>
      </c>
    </row>
    <row r="60" spans="1:4" x14ac:dyDescent="0.25">
      <c r="A60" s="147">
        <v>60</v>
      </c>
      <c r="B60" s="147" t="s">
        <v>249</v>
      </c>
      <c r="C60" s="147" t="s">
        <v>179</v>
      </c>
      <c r="D60" s="147">
        <v>1.1599999999999999</v>
      </c>
    </row>
    <row r="61" spans="1:4" x14ac:dyDescent="0.25">
      <c r="A61" s="147">
        <v>61</v>
      </c>
      <c r="B61" s="147" t="s">
        <v>250</v>
      </c>
      <c r="C61" s="147" t="s">
        <v>181</v>
      </c>
      <c r="D61" s="147">
        <v>1.1399999999999999</v>
      </c>
    </row>
    <row r="62" spans="1:4" x14ac:dyDescent="0.25">
      <c r="A62" s="147">
        <v>62</v>
      </c>
      <c r="B62" s="147" t="s">
        <v>251</v>
      </c>
      <c r="C62" s="147" t="s">
        <v>179</v>
      </c>
      <c r="D62" s="147">
        <v>1.2</v>
      </c>
    </row>
    <row r="63" spans="1:4" x14ac:dyDescent="0.25">
      <c r="A63" s="147">
        <v>63</v>
      </c>
      <c r="B63" s="147" t="s">
        <v>252</v>
      </c>
      <c r="C63" s="147" t="s">
        <v>174</v>
      </c>
      <c r="D63" s="147">
        <v>1.0900000000000001</v>
      </c>
    </row>
    <row r="64" spans="1:4" x14ac:dyDescent="0.25">
      <c r="A64" s="147">
        <v>64</v>
      </c>
      <c r="B64" s="147" t="s">
        <v>253</v>
      </c>
      <c r="C64" s="147" t="s">
        <v>182</v>
      </c>
      <c r="D64" s="147">
        <v>1.08</v>
      </c>
    </row>
    <row r="65" spans="1:4" x14ac:dyDescent="0.25">
      <c r="A65" s="147">
        <v>65</v>
      </c>
      <c r="B65" s="147" t="s">
        <v>254</v>
      </c>
      <c r="C65" s="147" t="s">
        <v>183</v>
      </c>
      <c r="D65" s="147">
        <v>1.08</v>
      </c>
    </row>
    <row r="66" spans="1:4" x14ac:dyDescent="0.25">
      <c r="A66" s="147">
        <v>66</v>
      </c>
      <c r="B66" s="147" t="s">
        <v>255</v>
      </c>
      <c r="C66" s="147" t="s">
        <v>183</v>
      </c>
      <c r="D66" s="147">
        <v>1.03</v>
      </c>
    </row>
    <row r="67" spans="1:4" x14ac:dyDescent="0.25">
      <c r="A67" s="147">
        <v>67</v>
      </c>
      <c r="B67" s="147" t="s">
        <v>256</v>
      </c>
      <c r="C67" s="147" t="s">
        <v>178</v>
      </c>
      <c r="D67" s="147">
        <v>1.1399999999999999</v>
      </c>
    </row>
    <row r="68" spans="1:4" x14ac:dyDescent="0.25">
      <c r="A68" s="147">
        <v>68</v>
      </c>
      <c r="B68" s="147" t="s">
        <v>257</v>
      </c>
      <c r="C68" s="147" t="s">
        <v>178</v>
      </c>
      <c r="D68" s="147">
        <v>1.1299999999999999</v>
      </c>
    </row>
    <row r="69" spans="1:4" x14ac:dyDescent="0.25">
      <c r="A69" s="147">
        <v>69</v>
      </c>
      <c r="B69" s="147" t="s">
        <v>258</v>
      </c>
      <c r="C69" s="147" t="s">
        <v>174</v>
      </c>
      <c r="D69" s="147">
        <v>1.08</v>
      </c>
    </row>
    <row r="70" spans="1:4" x14ac:dyDescent="0.25">
      <c r="A70" s="147">
        <v>70</v>
      </c>
      <c r="B70" s="147" t="s">
        <v>259</v>
      </c>
      <c r="C70" s="147" t="s">
        <v>175</v>
      </c>
      <c r="D70" s="147">
        <v>1.1200000000000001</v>
      </c>
    </row>
    <row r="71" spans="1:4" x14ac:dyDescent="0.25">
      <c r="A71" s="147">
        <v>71</v>
      </c>
      <c r="B71" s="147" t="s">
        <v>260</v>
      </c>
      <c r="C71" s="147" t="s">
        <v>175</v>
      </c>
      <c r="D71" s="147">
        <v>1.0900000000000001</v>
      </c>
    </row>
    <row r="72" spans="1:4" x14ac:dyDescent="0.25">
      <c r="A72" s="147">
        <v>72</v>
      </c>
      <c r="B72" s="147" t="s">
        <v>261</v>
      </c>
      <c r="C72" s="147" t="s">
        <v>184</v>
      </c>
      <c r="D72" s="147">
        <v>1.1100000000000001</v>
      </c>
    </row>
    <row r="73" spans="1:4" x14ac:dyDescent="0.25">
      <c r="A73" s="147">
        <v>73</v>
      </c>
      <c r="B73" s="147" t="s">
        <v>262</v>
      </c>
      <c r="C73" s="147" t="s">
        <v>174</v>
      </c>
      <c r="D73" s="147">
        <v>1.08</v>
      </c>
    </row>
    <row r="74" spans="1:4" x14ac:dyDescent="0.25">
      <c r="A74" s="147">
        <v>74</v>
      </c>
      <c r="B74" s="147" t="s">
        <v>263</v>
      </c>
      <c r="C74" s="147" t="s">
        <v>174</v>
      </c>
      <c r="D74" s="147">
        <v>1.08</v>
      </c>
    </row>
    <row r="75" spans="1:4" x14ac:dyDescent="0.25">
      <c r="A75" s="147">
        <v>75</v>
      </c>
      <c r="B75" s="147" t="s">
        <v>264</v>
      </c>
      <c r="C75" s="147" t="s">
        <v>180</v>
      </c>
      <c r="D75" s="147">
        <v>1.1399999999999999</v>
      </c>
    </row>
    <row r="76" spans="1:4" x14ac:dyDescent="0.25">
      <c r="A76" s="147">
        <v>76</v>
      </c>
      <c r="B76" s="147" t="s">
        <v>265</v>
      </c>
      <c r="C76" s="147" t="s">
        <v>181</v>
      </c>
      <c r="D76" s="147">
        <v>1.19</v>
      </c>
    </row>
    <row r="77" spans="1:4" x14ac:dyDescent="0.25">
      <c r="A77" s="147">
        <v>77</v>
      </c>
      <c r="B77" s="147" t="s">
        <v>266</v>
      </c>
      <c r="C77" s="147" t="s">
        <v>180</v>
      </c>
      <c r="D77" s="147">
        <v>1.1299999999999999</v>
      </c>
    </row>
    <row r="78" spans="1:4" x14ac:dyDescent="0.25">
      <c r="A78" s="147">
        <v>78</v>
      </c>
      <c r="B78" s="147" t="s">
        <v>267</v>
      </c>
      <c r="C78" s="147" t="s">
        <v>180</v>
      </c>
      <c r="D78" s="147">
        <v>1.1399999999999999</v>
      </c>
    </row>
    <row r="79" spans="1:4" x14ac:dyDescent="0.25">
      <c r="A79" s="147">
        <v>79</v>
      </c>
      <c r="B79" s="147" t="s">
        <v>268</v>
      </c>
      <c r="C79" s="147" t="s">
        <v>182</v>
      </c>
      <c r="D79" s="147">
        <v>1.08</v>
      </c>
    </row>
    <row r="80" spans="1:4" x14ac:dyDescent="0.25">
      <c r="A80" s="147">
        <v>80</v>
      </c>
      <c r="B80" s="147" t="s">
        <v>269</v>
      </c>
      <c r="C80" s="147" t="s">
        <v>179</v>
      </c>
      <c r="D80" s="147">
        <v>1.2</v>
      </c>
    </row>
    <row r="81" spans="1:4" x14ac:dyDescent="0.25">
      <c r="A81" s="147">
        <v>81</v>
      </c>
      <c r="B81" s="147" t="s">
        <v>270</v>
      </c>
      <c r="C81" s="147" t="s">
        <v>183</v>
      </c>
      <c r="D81" s="147">
        <v>1.03</v>
      </c>
    </row>
    <row r="82" spans="1:4" x14ac:dyDescent="0.25">
      <c r="A82" s="147">
        <v>82</v>
      </c>
      <c r="B82" s="147" t="s">
        <v>271</v>
      </c>
      <c r="C82" s="147" t="s">
        <v>183</v>
      </c>
      <c r="D82" s="147">
        <v>1.03</v>
      </c>
    </row>
    <row r="83" spans="1:4" x14ac:dyDescent="0.25">
      <c r="A83" s="147">
        <v>83</v>
      </c>
      <c r="B83" s="147" t="s">
        <v>272</v>
      </c>
      <c r="C83" s="147" t="s">
        <v>185</v>
      </c>
      <c r="D83" s="147">
        <v>1</v>
      </c>
    </row>
    <row r="84" spans="1:4" x14ac:dyDescent="0.25">
      <c r="A84" s="147">
        <v>84</v>
      </c>
      <c r="B84" s="147" t="s">
        <v>273</v>
      </c>
      <c r="C84" s="147" t="s">
        <v>185</v>
      </c>
      <c r="D84" s="147">
        <v>1</v>
      </c>
    </row>
    <row r="85" spans="1:4" x14ac:dyDescent="0.25">
      <c r="A85" s="147">
        <v>85</v>
      </c>
      <c r="B85" s="147" t="s">
        <v>274</v>
      </c>
      <c r="C85" s="147" t="s">
        <v>184</v>
      </c>
      <c r="D85" s="147">
        <v>1.06</v>
      </c>
    </row>
    <row r="86" spans="1:4" x14ac:dyDescent="0.25">
      <c r="A86" s="147">
        <v>86</v>
      </c>
      <c r="B86" s="147" t="s">
        <v>275</v>
      </c>
      <c r="C86" s="147" t="s">
        <v>182</v>
      </c>
      <c r="D86" s="147">
        <v>1.0900000000000001</v>
      </c>
    </row>
    <row r="87" spans="1:4" x14ac:dyDescent="0.25">
      <c r="A87" s="147">
        <v>87</v>
      </c>
      <c r="B87" s="147" t="s">
        <v>276</v>
      </c>
      <c r="C87" s="147" t="s">
        <v>182</v>
      </c>
      <c r="D87" s="147">
        <v>1.0900000000000001</v>
      </c>
    </row>
    <row r="88" spans="1:4" x14ac:dyDescent="0.25">
      <c r="A88" s="147">
        <v>88</v>
      </c>
      <c r="B88" s="147" t="s">
        <v>277</v>
      </c>
      <c r="C88" s="147" t="s">
        <v>178</v>
      </c>
      <c r="D88" s="147">
        <v>1.1499999999999999</v>
      </c>
    </row>
    <row r="89" spans="1:4" x14ac:dyDescent="0.25">
      <c r="A89" s="147">
        <v>89</v>
      </c>
      <c r="B89" s="147" t="s">
        <v>278</v>
      </c>
      <c r="C89" s="147" t="s">
        <v>175</v>
      </c>
      <c r="D89" s="147">
        <v>1.1200000000000001</v>
      </c>
    </row>
    <row r="90" spans="1:4" x14ac:dyDescent="0.25">
      <c r="A90" s="147">
        <v>90</v>
      </c>
      <c r="B90" s="147" t="s">
        <v>279</v>
      </c>
      <c r="C90" s="147" t="s">
        <v>175</v>
      </c>
      <c r="D90" s="147">
        <v>1.1200000000000001</v>
      </c>
    </row>
    <row r="91" spans="1:4" x14ac:dyDescent="0.25">
      <c r="A91" s="147">
        <v>91</v>
      </c>
      <c r="B91" s="147" t="s">
        <v>280</v>
      </c>
      <c r="C91" s="147" t="s">
        <v>180</v>
      </c>
      <c r="D91" s="147">
        <v>1.1200000000000001</v>
      </c>
    </row>
    <row r="92" spans="1:4" x14ac:dyDescent="0.25">
      <c r="A92" s="147">
        <v>92</v>
      </c>
      <c r="B92" s="147" t="s">
        <v>281</v>
      </c>
      <c r="C92" s="147" t="s">
        <v>180</v>
      </c>
      <c r="D92" s="147">
        <v>1.1399999999999999</v>
      </c>
    </row>
    <row r="93" spans="1:4" x14ac:dyDescent="0.25">
      <c r="A93" s="147">
        <v>93</v>
      </c>
      <c r="B93" s="147" t="s">
        <v>282</v>
      </c>
      <c r="C93" s="147" t="s">
        <v>180</v>
      </c>
      <c r="D93" s="147">
        <v>1.1399999999999999</v>
      </c>
    </row>
    <row r="94" spans="1:4" x14ac:dyDescent="0.25">
      <c r="A94" s="147">
        <v>94</v>
      </c>
      <c r="B94" s="147" t="s">
        <v>283</v>
      </c>
      <c r="C94" s="147" t="s">
        <v>180</v>
      </c>
      <c r="D94" s="147">
        <v>1.1399999999999999</v>
      </c>
    </row>
    <row r="95" spans="1:4" x14ac:dyDescent="0.25">
      <c r="A95" s="147">
        <v>95</v>
      </c>
      <c r="B95" s="147" t="s">
        <v>7</v>
      </c>
      <c r="C95" s="147" t="s">
        <v>180</v>
      </c>
      <c r="D95" s="147">
        <v>1.1399999999999999</v>
      </c>
    </row>
    <row r="96" spans="1:4" x14ac:dyDescent="0.25">
      <c r="A96" s="147">
        <v>20</v>
      </c>
      <c r="B96" s="147" t="s">
        <v>161</v>
      </c>
      <c r="C96" s="147" t="s">
        <v>161</v>
      </c>
      <c r="D96" s="147">
        <v>1</v>
      </c>
    </row>
    <row r="97" spans="1:4" x14ac:dyDescent="0.25">
      <c r="A97" s="147">
        <v>971</v>
      </c>
      <c r="B97" s="147" t="s">
        <v>163</v>
      </c>
      <c r="C97" s="147" t="s">
        <v>163</v>
      </c>
      <c r="D97" s="147">
        <v>1</v>
      </c>
    </row>
    <row r="98" spans="1:4" x14ac:dyDescent="0.25">
      <c r="A98" s="147">
        <v>973</v>
      </c>
      <c r="B98" s="147" t="s">
        <v>165</v>
      </c>
      <c r="C98" s="147" t="s">
        <v>165</v>
      </c>
      <c r="D98" s="147">
        <v>1</v>
      </c>
    </row>
    <row r="99" spans="1:4" x14ac:dyDescent="0.25">
      <c r="A99" s="147">
        <v>974</v>
      </c>
      <c r="B99" s="147" t="s">
        <v>167</v>
      </c>
      <c r="C99" s="147" t="s">
        <v>167</v>
      </c>
      <c r="D99" s="147">
        <v>1</v>
      </c>
    </row>
    <row r="100" spans="1:4" x14ac:dyDescent="0.25">
      <c r="A100" s="147">
        <v>972</v>
      </c>
      <c r="B100" s="147" t="s">
        <v>168</v>
      </c>
      <c r="C100" s="147" t="s">
        <v>168</v>
      </c>
      <c r="D100" s="147">
        <v>1</v>
      </c>
    </row>
    <row r="101" spans="1:4" x14ac:dyDescent="0.25">
      <c r="A101" s="147">
        <v>976</v>
      </c>
      <c r="B101" s="147" t="s">
        <v>169</v>
      </c>
      <c r="C101" s="147" t="s">
        <v>169</v>
      </c>
      <c r="D101" s="147">
        <v>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tabColor theme="5" tint="0.79998168889431442"/>
  </sheetPr>
  <dimension ref="A1:I624"/>
  <sheetViews>
    <sheetView workbookViewId="0">
      <selection activeCell="G4" sqref="G4"/>
    </sheetView>
  </sheetViews>
  <sheetFormatPr baseColWidth="10" defaultColWidth="11.42578125" defaultRowHeight="15" x14ac:dyDescent="0.25"/>
  <cols>
    <col min="1" max="1" width="11.28515625" style="92" customWidth="1"/>
    <col min="2" max="2" width="10.28515625" style="92" customWidth="1"/>
    <col min="3" max="3" width="13.7109375" style="93" customWidth="1"/>
    <col min="4" max="4" width="18.140625" style="92" customWidth="1"/>
    <col min="5" max="5" width="20.7109375" style="92" customWidth="1"/>
    <col min="6" max="6" width="17.140625" style="92" customWidth="1"/>
    <col min="7" max="7" width="16" style="92" customWidth="1"/>
    <col min="8" max="16384" width="11.42578125" style="1"/>
  </cols>
  <sheetData>
    <row r="1" spans="1:9" ht="48" customHeight="1" thickBot="1" x14ac:dyDescent="0.3">
      <c r="A1" s="94"/>
      <c r="B1" s="95"/>
      <c r="C1" s="96"/>
      <c r="D1" s="169" t="s">
        <v>284</v>
      </c>
      <c r="E1" s="170"/>
      <c r="F1" s="169" t="s">
        <v>285</v>
      </c>
      <c r="G1" s="171"/>
    </row>
    <row r="2" spans="1:9" ht="15.75" thickBot="1" x14ac:dyDescent="0.3">
      <c r="A2" s="174" t="s">
        <v>286</v>
      </c>
      <c r="B2" s="175"/>
      <c r="C2" s="172" t="s">
        <v>287</v>
      </c>
      <c r="D2" s="56" t="s">
        <v>288</v>
      </c>
      <c r="E2" s="57" t="s">
        <v>289</v>
      </c>
      <c r="F2" s="58" t="s">
        <v>290</v>
      </c>
      <c r="G2" s="57" t="s">
        <v>291</v>
      </c>
    </row>
    <row r="3" spans="1:9" ht="15.75" thickBot="1" x14ac:dyDescent="0.3">
      <c r="A3" s="176"/>
      <c r="B3" s="177"/>
      <c r="C3" s="173"/>
      <c r="D3" s="59" t="s">
        <v>292</v>
      </c>
      <c r="E3" s="60" t="s">
        <v>293</v>
      </c>
      <c r="F3" s="61">
        <v>630215</v>
      </c>
      <c r="G3" s="60">
        <v>1565183</v>
      </c>
      <c r="I3" s="90" t="s">
        <v>294</v>
      </c>
    </row>
    <row r="4" spans="1:9" x14ac:dyDescent="0.25">
      <c r="A4" s="97">
        <v>53936</v>
      </c>
      <c r="B4" s="105"/>
      <c r="C4" s="109">
        <v>54027</v>
      </c>
      <c r="D4" s="62">
        <v>224.74347224358291</v>
      </c>
      <c r="E4" s="63">
        <v>211.22506789810424</v>
      </c>
      <c r="F4" s="64">
        <v>311.08359362284824</v>
      </c>
      <c r="G4" s="63">
        <v>217.54097456143234</v>
      </c>
      <c r="I4" s="91">
        <f>Modèle!inflation</f>
        <v>0.02</v>
      </c>
    </row>
    <row r="5" spans="1:9" x14ac:dyDescent="0.25">
      <c r="A5" s="98">
        <v>53905</v>
      </c>
      <c r="B5" s="106"/>
      <c r="C5" s="110">
        <v>53997</v>
      </c>
      <c r="D5" s="65">
        <v>224.95874376872041</v>
      </c>
      <c r="E5" s="66">
        <v>211.42739076007555</v>
      </c>
      <c r="F5" s="67">
        <v>310.32175625071062</v>
      </c>
      <c r="G5" s="66">
        <v>217.00822115434312</v>
      </c>
    </row>
    <row r="6" spans="1:9" x14ac:dyDescent="0.25">
      <c r="A6" s="98">
        <v>53874</v>
      </c>
      <c r="B6" s="106"/>
      <c r="C6" s="110">
        <v>53966</v>
      </c>
      <c r="D6" s="65">
        <v>224.52820071844528</v>
      </c>
      <c r="E6" s="66">
        <v>211.02274503613276</v>
      </c>
      <c r="F6" s="67">
        <v>309.81386466928558</v>
      </c>
      <c r="G6" s="66">
        <v>216.65305221628361</v>
      </c>
    </row>
    <row r="7" spans="1:9" x14ac:dyDescent="0.25">
      <c r="A7" s="98">
        <v>53844</v>
      </c>
      <c r="B7" s="106"/>
      <c r="C7" s="110">
        <v>53936</v>
      </c>
      <c r="D7" s="65">
        <v>223.66711461789529</v>
      </c>
      <c r="E7" s="66">
        <v>210.21345358824743</v>
      </c>
      <c r="F7" s="67">
        <v>309.05202729714802</v>
      </c>
      <c r="G7" s="66">
        <v>216.12029880919442</v>
      </c>
    </row>
    <row r="8" spans="1:9" x14ac:dyDescent="0.25">
      <c r="A8" s="98">
        <v>53813</v>
      </c>
      <c r="B8" s="106"/>
      <c r="C8" s="110">
        <v>53905</v>
      </c>
      <c r="D8" s="65">
        <v>224.74347224358291</v>
      </c>
      <c r="E8" s="66">
        <v>211.22506789810424</v>
      </c>
      <c r="F8" s="67">
        <v>308.2901899250104</v>
      </c>
      <c r="G8" s="66">
        <v>215.58754540210518</v>
      </c>
    </row>
    <row r="9" spans="1:9" x14ac:dyDescent="0.25">
      <c r="A9" s="98">
        <v>53783</v>
      </c>
      <c r="B9" s="106"/>
      <c r="C9" s="110">
        <v>53874</v>
      </c>
      <c r="D9" s="65">
        <v>225.81982986927059</v>
      </c>
      <c r="E9" s="66">
        <v>212.23668220796108</v>
      </c>
      <c r="F9" s="67">
        <v>310.21221100765808</v>
      </c>
      <c r="G9" s="66">
        <v>216.93161608927139</v>
      </c>
    </row>
    <row r="10" spans="1:9" x14ac:dyDescent="0.25">
      <c r="A10" s="98">
        <v>53752</v>
      </c>
      <c r="B10" s="106"/>
      <c r="C10" s="110">
        <v>53844</v>
      </c>
      <c r="D10" s="65">
        <v>226.03510139440812</v>
      </c>
      <c r="E10" s="66">
        <v>212.43900506993242</v>
      </c>
      <c r="F10" s="67">
        <v>309.4653116232094</v>
      </c>
      <c r="G10" s="66">
        <v>216.40930882741918</v>
      </c>
    </row>
    <row r="11" spans="1:9" x14ac:dyDescent="0.25">
      <c r="A11" s="98">
        <v>53724</v>
      </c>
      <c r="B11" s="106"/>
      <c r="C11" s="110">
        <v>53813</v>
      </c>
      <c r="D11" s="65">
        <v>226.25037291954567</v>
      </c>
      <c r="E11" s="66">
        <v>212.64132793190382</v>
      </c>
      <c r="F11" s="67">
        <v>308.71841223876095</v>
      </c>
      <c r="G11" s="66">
        <v>215.88700156556712</v>
      </c>
    </row>
    <row r="12" spans="1:9" x14ac:dyDescent="0.25">
      <c r="A12" s="98">
        <v>53693</v>
      </c>
      <c r="B12" s="106"/>
      <c r="C12" s="110">
        <v>53783</v>
      </c>
      <c r="D12" s="65">
        <v>225.6045583441331</v>
      </c>
      <c r="E12" s="66">
        <v>212.03435934598974</v>
      </c>
      <c r="F12" s="67">
        <v>307.97151285431221</v>
      </c>
      <c r="G12" s="66">
        <v>215.36469430371483</v>
      </c>
    </row>
    <row r="13" spans="1:9" x14ac:dyDescent="0.25">
      <c r="A13" s="98">
        <v>53662</v>
      </c>
      <c r="B13" s="106"/>
      <c r="C13" s="110">
        <v>53752</v>
      </c>
      <c r="D13" s="65">
        <v>225.17401529385796</v>
      </c>
      <c r="E13" s="66">
        <v>211.62971362204695</v>
      </c>
      <c r="F13" s="67">
        <v>306.9756470083808</v>
      </c>
      <c r="G13" s="66">
        <v>214.66828462124533</v>
      </c>
    </row>
    <row r="14" spans="1:9" x14ac:dyDescent="0.25">
      <c r="A14" s="98">
        <v>53632</v>
      </c>
      <c r="B14" s="106"/>
      <c r="C14" s="110">
        <v>53724</v>
      </c>
      <c r="D14" s="65">
        <v>227.54200207037076</v>
      </c>
      <c r="E14" s="66">
        <v>213.85526510373191</v>
      </c>
      <c r="F14" s="67">
        <v>306.22874762393218</v>
      </c>
      <c r="G14" s="66">
        <v>214.14597735939316</v>
      </c>
    </row>
    <row r="15" spans="1:9" x14ac:dyDescent="0.25">
      <c r="A15" s="99">
        <v>53601</v>
      </c>
      <c r="B15" s="107"/>
      <c r="C15" s="111">
        <v>53693</v>
      </c>
      <c r="D15" s="68">
        <v>220.54778800854939</v>
      </c>
      <c r="E15" s="69">
        <v>207.28175564713288</v>
      </c>
      <c r="F15" s="70">
        <v>305.48184823948361</v>
      </c>
      <c r="G15" s="69">
        <v>213.62367009754098</v>
      </c>
    </row>
    <row r="16" spans="1:9" x14ac:dyDescent="0.25">
      <c r="A16" s="97">
        <v>53571</v>
      </c>
      <c r="B16" s="105"/>
      <c r="C16" s="112">
        <v>53662</v>
      </c>
      <c r="D16" s="62">
        <v>220.33673749370874</v>
      </c>
      <c r="E16" s="63">
        <v>207.08339990010219</v>
      </c>
      <c r="F16" s="64">
        <v>304.98391531651788</v>
      </c>
      <c r="G16" s="63">
        <v>213.27546525630621</v>
      </c>
    </row>
    <row r="17" spans="1:7" x14ac:dyDescent="0.25">
      <c r="A17" s="98">
        <v>53540</v>
      </c>
      <c r="B17" s="106"/>
      <c r="C17" s="110">
        <v>53632</v>
      </c>
      <c r="D17" s="65">
        <v>220.54778800854939</v>
      </c>
      <c r="E17" s="66">
        <v>207.28175564713288</v>
      </c>
      <c r="F17" s="67">
        <v>304.23701593206926</v>
      </c>
      <c r="G17" s="66">
        <v>212.75315799445403</v>
      </c>
    </row>
    <row r="18" spans="1:7" x14ac:dyDescent="0.25">
      <c r="A18" s="98">
        <v>53509</v>
      </c>
      <c r="B18" s="106"/>
      <c r="C18" s="110">
        <v>53601</v>
      </c>
      <c r="D18" s="65">
        <v>220.12568697886792</v>
      </c>
      <c r="E18" s="66">
        <v>206.88504415307133</v>
      </c>
      <c r="F18" s="67">
        <v>303.73908300910347</v>
      </c>
      <c r="G18" s="66">
        <v>212.40495315321922</v>
      </c>
    </row>
    <row r="19" spans="1:7" x14ac:dyDescent="0.25">
      <c r="A19" s="98">
        <v>53479</v>
      </c>
      <c r="B19" s="106"/>
      <c r="C19" s="110">
        <v>53571</v>
      </c>
      <c r="D19" s="65">
        <v>219.28148491950517</v>
      </c>
      <c r="E19" s="66">
        <v>206.09162116494846</v>
      </c>
      <c r="F19" s="67">
        <v>302.9921836246549</v>
      </c>
      <c r="G19" s="66">
        <v>211.88264589136708</v>
      </c>
    </row>
    <row r="20" spans="1:7" x14ac:dyDescent="0.25">
      <c r="A20" s="98">
        <v>53448</v>
      </c>
      <c r="B20" s="106"/>
      <c r="C20" s="110">
        <v>53540</v>
      </c>
      <c r="D20" s="65">
        <v>220.33673749370874</v>
      </c>
      <c r="E20" s="66">
        <v>207.08339990010219</v>
      </c>
      <c r="F20" s="67">
        <v>302.24528424020627</v>
      </c>
      <c r="G20" s="66">
        <v>211.36033862951487</v>
      </c>
    </row>
    <row r="21" spans="1:7" x14ac:dyDescent="0.25">
      <c r="A21" s="98">
        <v>53418</v>
      </c>
      <c r="B21" s="106"/>
      <c r="C21" s="110">
        <v>53509</v>
      </c>
      <c r="D21" s="65">
        <v>221.39199006791233</v>
      </c>
      <c r="E21" s="66">
        <v>208.07517863525595</v>
      </c>
      <c r="F21" s="67">
        <v>304.12961863495889</v>
      </c>
      <c r="G21" s="66">
        <v>212.67805498948175</v>
      </c>
    </row>
    <row r="22" spans="1:7" x14ac:dyDescent="0.25">
      <c r="A22" s="98">
        <v>53387</v>
      </c>
      <c r="B22" s="106"/>
      <c r="C22" s="110">
        <v>53479</v>
      </c>
      <c r="D22" s="65">
        <v>221.60304058275304</v>
      </c>
      <c r="E22" s="66">
        <v>208.27353438228667</v>
      </c>
      <c r="F22" s="67">
        <v>303.39736433647982</v>
      </c>
      <c r="G22" s="66">
        <v>212.16598904648939</v>
      </c>
    </row>
    <row r="23" spans="1:7" x14ac:dyDescent="0.25">
      <c r="A23" s="98">
        <v>53359</v>
      </c>
      <c r="B23" s="106"/>
      <c r="C23" s="110">
        <v>53448</v>
      </c>
      <c r="D23" s="65">
        <v>221.8140910975938</v>
      </c>
      <c r="E23" s="66">
        <v>208.47189012931747</v>
      </c>
      <c r="F23" s="67">
        <v>302.66511003800093</v>
      </c>
      <c r="G23" s="66">
        <v>211.65392310349716</v>
      </c>
    </row>
    <row r="24" spans="1:7" x14ac:dyDescent="0.25">
      <c r="A24" s="98">
        <v>53328</v>
      </c>
      <c r="B24" s="106"/>
      <c r="C24" s="110">
        <v>53418</v>
      </c>
      <c r="D24" s="65">
        <v>221.18093955307165</v>
      </c>
      <c r="E24" s="66">
        <v>207.87682288822523</v>
      </c>
      <c r="F24" s="67">
        <v>301.93285573952176</v>
      </c>
      <c r="G24" s="66">
        <v>211.14185716050474</v>
      </c>
    </row>
    <row r="25" spans="1:7" x14ac:dyDescent="0.25">
      <c r="A25" s="98">
        <v>53297</v>
      </c>
      <c r="B25" s="106"/>
      <c r="C25" s="110">
        <v>53387</v>
      </c>
      <c r="D25" s="65">
        <v>220.75883852339018</v>
      </c>
      <c r="E25" s="66">
        <v>207.48011139416369</v>
      </c>
      <c r="F25" s="67">
        <v>300.95651667488318</v>
      </c>
      <c r="G25" s="66">
        <v>210.45910256984837</v>
      </c>
    </row>
    <row r="26" spans="1:7" x14ac:dyDescent="0.25">
      <c r="A26" s="98">
        <v>53267</v>
      </c>
      <c r="B26" s="106"/>
      <c r="C26" s="110">
        <v>53359</v>
      </c>
      <c r="D26" s="65">
        <v>223.08039418663799</v>
      </c>
      <c r="E26" s="66">
        <v>209.66202461150186</v>
      </c>
      <c r="F26" s="67">
        <v>300.22426237640411</v>
      </c>
      <c r="G26" s="66">
        <v>209.94703662685603</v>
      </c>
    </row>
    <row r="27" spans="1:7" x14ac:dyDescent="0.25">
      <c r="A27" s="99">
        <v>53236</v>
      </c>
      <c r="B27" s="107"/>
      <c r="C27" s="111">
        <v>53328</v>
      </c>
      <c r="D27" s="68">
        <v>216.22332157700922</v>
      </c>
      <c r="E27" s="69">
        <v>203.2174074971891</v>
      </c>
      <c r="F27" s="70">
        <v>299.49200807792505</v>
      </c>
      <c r="G27" s="69">
        <v>209.4349706838637</v>
      </c>
    </row>
    <row r="28" spans="1:7" x14ac:dyDescent="0.25">
      <c r="A28" s="97">
        <v>53206</v>
      </c>
      <c r="B28" s="105"/>
      <c r="C28" s="112">
        <v>53297</v>
      </c>
      <c r="D28" s="62">
        <v>216.01640930755758</v>
      </c>
      <c r="E28" s="63">
        <v>203.02294107853155</v>
      </c>
      <c r="F28" s="64">
        <v>299.00383854560573</v>
      </c>
      <c r="G28" s="63">
        <v>209.09359338853548</v>
      </c>
    </row>
    <row r="29" spans="1:7" x14ac:dyDescent="0.25">
      <c r="A29" s="98">
        <v>53175</v>
      </c>
      <c r="B29" s="106"/>
      <c r="C29" s="110">
        <v>53267</v>
      </c>
      <c r="D29" s="65">
        <v>216.22332157700922</v>
      </c>
      <c r="E29" s="66">
        <v>203.2174074971891</v>
      </c>
      <c r="F29" s="67">
        <v>298.27158424712673</v>
      </c>
      <c r="G29" s="66">
        <v>208.58152744554317</v>
      </c>
    </row>
    <row r="30" spans="1:7" x14ac:dyDescent="0.25">
      <c r="A30" s="98">
        <v>53144</v>
      </c>
      <c r="B30" s="106"/>
      <c r="C30" s="110">
        <v>53236</v>
      </c>
      <c r="D30" s="65">
        <v>215.80949703810577</v>
      </c>
      <c r="E30" s="66">
        <v>202.82847465987385</v>
      </c>
      <c r="F30" s="67">
        <v>297.78341471480735</v>
      </c>
      <c r="G30" s="66">
        <v>208.24015015021493</v>
      </c>
    </row>
    <row r="31" spans="1:7" x14ac:dyDescent="0.25">
      <c r="A31" s="98">
        <v>53114</v>
      </c>
      <c r="B31" s="106"/>
      <c r="C31" s="110">
        <v>53206</v>
      </c>
      <c r="D31" s="65">
        <v>214.98184796029921</v>
      </c>
      <c r="E31" s="66">
        <v>202.0506089852436</v>
      </c>
      <c r="F31" s="67">
        <v>297.05116041632834</v>
      </c>
      <c r="G31" s="66">
        <v>207.72808420722262</v>
      </c>
    </row>
    <row r="32" spans="1:7" x14ac:dyDescent="0.25">
      <c r="A32" s="98">
        <v>53083</v>
      </c>
      <c r="B32" s="106"/>
      <c r="C32" s="110">
        <v>53175</v>
      </c>
      <c r="D32" s="65">
        <v>216.01640930755758</v>
      </c>
      <c r="E32" s="66">
        <v>203.02294107853155</v>
      </c>
      <c r="F32" s="67">
        <v>296.31890611784928</v>
      </c>
      <c r="G32" s="66">
        <v>207.21601826423026</v>
      </c>
    </row>
    <row r="33" spans="1:7" x14ac:dyDescent="0.25">
      <c r="A33" s="98">
        <v>53053</v>
      </c>
      <c r="B33" s="106"/>
      <c r="C33" s="110">
        <v>53144</v>
      </c>
      <c r="D33" s="65">
        <v>217.05097065481601</v>
      </c>
      <c r="E33" s="66">
        <v>203.99527317181955</v>
      </c>
      <c r="F33" s="67">
        <v>298.16629277937147</v>
      </c>
      <c r="G33" s="66">
        <v>208.50789704851152</v>
      </c>
    </row>
    <row r="34" spans="1:7" x14ac:dyDescent="0.25">
      <c r="A34" s="98">
        <v>53022</v>
      </c>
      <c r="B34" s="106"/>
      <c r="C34" s="110">
        <v>53114</v>
      </c>
      <c r="D34" s="65">
        <v>217.25788292426768</v>
      </c>
      <c r="E34" s="66">
        <v>204.18973959047713</v>
      </c>
      <c r="F34" s="67">
        <v>297.44839640831356</v>
      </c>
      <c r="G34" s="66">
        <v>208.00587161420529</v>
      </c>
    </row>
    <row r="35" spans="1:7" x14ac:dyDescent="0.25">
      <c r="A35" s="98">
        <v>52994</v>
      </c>
      <c r="B35" s="106"/>
      <c r="C35" s="110">
        <v>53083</v>
      </c>
      <c r="D35" s="65">
        <v>217.4647951937194</v>
      </c>
      <c r="E35" s="66">
        <v>204.38420600913477</v>
      </c>
      <c r="F35" s="67">
        <v>296.73050003725581</v>
      </c>
      <c r="G35" s="66">
        <v>207.50384617989917</v>
      </c>
    </row>
    <row r="36" spans="1:7" x14ac:dyDescent="0.25">
      <c r="A36" s="98">
        <v>52963</v>
      </c>
      <c r="B36" s="106"/>
      <c r="C36" s="110">
        <v>53053</v>
      </c>
      <c r="D36" s="65">
        <v>216.84405838536438</v>
      </c>
      <c r="E36" s="66">
        <v>203.80080675316199</v>
      </c>
      <c r="F36" s="67">
        <v>296.01260366619783</v>
      </c>
      <c r="G36" s="66">
        <v>207.00182074559288</v>
      </c>
    </row>
    <row r="37" spans="1:7" x14ac:dyDescent="0.25">
      <c r="A37" s="98">
        <v>52932</v>
      </c>
      <c r="B37" s="106"/>
      <c r="C37" s="110">
        <v>53022</v>
      </c>
      <c r="D37" s="65">
        <v>216.43023384646094</v>
      </c>
      <c r="E37" s="66">
        <v>203.41187391584674</v>
      </c>
      <c r="F37" s="67">
        <v>295.05540850478741</v>
      </c>
      <c r="G37" s="66">
        <v>206.33245349985134</v>
      </c>
    </row>
    <row r="38" spans="1:7" x14ac:dyDescent="0.25">
      <c r="A38" s="98">
        <v>52902</v>
      </c>
      <c r="B38" s="106"/>
      <c r="C38" s="110">
        <v>52994</v>
      </c>
      <c r="D38" s="65">
        <v>218.70626881042938</v>
      </c>
      <c r="E38" s="66">
        <v>205.55100452108024</v>
      </c>
      <c r="F38" s="67">
        <v>294.33751213372955</v>
      </c>
      <c r="G38" s="66">
        <v>205.83042806554514</v>
      </c>
    </row>
    <row r="39" spans="1:7" x14ac:dyDescent="0.25">
      <c r="A39" s="99">
        <v>52871</v>
      </c>
      <c r="B39" s="107"/>
      <c r="C39" s="111">
        <v>52963</v>
      </c>
      <c r="D39" s="68">
        <v>211.983648604911</v>
      </c>
      <c r="E39" s="69">
        <v>199.2327524482246</v>
      </c>
      <c r="F39" s="70">
        <v>293.61961576267163</v>
      </c>
      <c r="G39" s="69">
        <v>205.3284026312389</v>
      </c>
    </row>
    <row r="40" spans="1:7" x14ac:dyDescent="0.25">
      <c r="A40" s="97">
        <v>52841</v>
      </c>
      <c r="B40" s="105"/>
      <c r="C40" s="112">
        <v>52932</v>
      </c>
      <c r="D40" s="62">
        <v>211.78079343878193</v>
      </c>
      <c r="E40" s="63">
        <v>199.04209909659954</v>
      </c>
      <c r="F40" s="64">
        <v>293.14101818196639</v>
      </c>
      <c r="G40" s="63">
        <v>204.99371900836812</v>
      </c>
    </row>
    <row r="41" spans="1:7" x14ac:dyDescent="0.25">
      <c r="A41" s="98">
        <v>52810</v>
      </c>
      <c r="B41" s="106"/>
      <c r="C41" s="110">
        <v>52902</v>
      </c>
      <c r="D41" s="65">
        <v>211.983648604911</v>
      </c>
      <c r="E41" s="66">
        <v>199.2327524482246</v>
      </c>
      <c r="F41" s="67">
        <v>292.42312181090858</v>
      </c>
      <c r="G41" s="66">
        <v>204.49169357406194</v>
      </c>
    </row>
    <row r="42" spans="1:7" x14ac:dyDescent="0.25">
      <c r="A42" s="98">
        <v>52779</v>
      </c>
      <c r="B42" s="106"/>
      <c r="C42" s="110">
        <v>52871</v>
      </c>
      <c r="D42" s="65">
        <v>211.57793827265274</v>
      </c>
      <c r="E42" s="66">
        <v>198.85144574497437</v>
      </c>
      <c r="F42" s="67">
        <v>291.94452423020329</v>
      </c>
      <c r="G42" s="66">
        <v>204.1570099511911</v>
      </c>
    </row>
    <row r="43" spans="1:7" x14ac:dyDescent="0.25">
      <c r="A43" s="98">
        <v>52749</v>
      </c>
      <c r="B43" s="106"/>
      <c r="C43" s="110">
        <v>52841</v>
      </c>
      <c r="D43" s="65">
        <v>210.76651760813647</v>
      </c>
      <c r="E43" s="66">
        <v>198.08883233847411</v>
      </c>
      <c r="F43" s="67">
        <v>291.22662785914542</v>
      </c>
      <c r="G43" s="66">
        <v>203.65498451688492</v>
      </c>
    </row>
    <row r="44" spans="1:7" x14ac:dyDescent="0.25">
      <c r="A44" s="98">
        <v>52718</v>
      </c>
      <c r="B44" s="106"/>
      <c r="C44" s="110">
        <v>52810</v>
      </c>
      <c r="D44" s="65">
        <v>211.78079343878193</v>
      </c>
      <c r="E44" s="66">
        <v>199.04209909659954</v>
      </c>
      <c r="F44" s="67">
        <v>290.50873148808751</v>
      </c>
      <c r="G44" s="66">
        <v>203.15295908257869</v>
      </c>
    </row>
    <row r="45" spans="1:7" x14ac:dyDescent="0.25">
      <c r="A45" s="98">
        <v>52688</v>
      </c>
      <c r="B45" s="106"/>
      <c r="C45" s="110">
        <v>52779</v>
      </c>
      <c r="D45" s="65">
        <v>212.79506926942744</v>
      </c>
      <c r="E45" s="66">
        <v>199.99536585472504</v>
      </c>
      <c r="F45" s="67">
        <v>292.31989488173673</v>
      </c>
      <c r="G45" s="66">
        <v>204.41950691030542</v>
      </c>
    </row>
    <row r="46" spans="1:7" x14ac:dyDescent="0.25">
      <c r="A46" s="98">
        <v>52657</v>
      </c>
      <c r="B46" s="106"/>
      <c r="C46" s="110">
        <v>52749</v>
      </c>
      <c r="D46" s="65">
        <v>212.99792443555654</v>
      </c>
      <c r="E46" s="66">
        <v>200.18601920635012</v>
      </c>
      <c r="F46" s="67">
        <v>291.61607491011131</v>
      </c>
      <c r="G46" s="66">
        <v>203.92732511196596</v>
      </c>
    </row>
    <row r="47" spans="1:7" x14ac:dyDescent="0.25">
      <c r="A47" s="98">
        <v>52628</v>
      </c>
      <c r="B47" s="106"/>
      <c r="C47" s="110">
        <v>52718</v>
      </c>
      <c r="D47" s="65">
        <v>213.2007796016857</v>
      </c>
      <c r="E47" s="66">
        <v>200.37667255797527</v>
      </c>
      <c r="F47" s="67">
        <v>290.91225493848606</v>
      </c>
      <c r="G47" s="66">
        <v>203.43514331362664</v>
      </c>
    </row>
    <row r="48" spans="1:7" x14ac:dyDescent="0.25">
      <c r="A48" s="98">
        <v>52597</v>
      </c>
      <c r="B48" s="106"/>
      <c r="C48" s="110">
        <v>52688</v>
      </c>
      <c r="D48" s="65">
        <v>212.59221410329837</v>
      </c>
      <c r="E48" s="66">
        <v>199.80471250309998</v>
      </c>
      <c r="F48" s="67">
        <v>290.20843496686058</v>
      </c>
      <c r="G48" s="66">
        <v>202.94296151528712</v>
      </c>
    </row>
    <row r="49" spans="1:7" x14ac:dyDescent="0.25">
      <c r="A49" s="98">
        <v>52566</v>
      </c>
      <c r="B49" s="106"/>
      <c r="C49" s="110">
        <v>52657</v>
      </c>
      <c r="D49" s="65">
        <v>212.18650377104015</v>
      </c>
      <c r="E49" s="66">
        <v>199.42340579984975</v>
      </c>
      <c r="F49" s="67">
        <v>289.27000833802686</v>
      </c>
      <c r="G49" s="66">
        <v>202.28671911750132</v>
      </c>
    </row>
    <row r="50" spans="1:7" x14ac:dyDescent="0.25">
      <c r="A50" s="98">
        <v>52536</v>
      </c>
      <c r="B50" s="106"/>
      <c r="C50" s="110">
        <v>52628</v>
      </c>
      <c r="D50" s="65">
        <v>214.4179105984602</v>
      </c>
      <c r="E50" s="66">
        <v>201.52059266772574</v>
      </c>
      <c r="F50" s="67">
        <v>288.56618836640149</v>
      </c>
      <c r="G50" s="66">
        <v>201.79453731916189</v>
      </c>
    </row>
    <row r="51" spans="1:7" x14ac:dyDescent="0.25">
      <c r="A51" s="99">
        <v>52505</v>
      </c>
      <c r="B51" s="107"/>
      <c r="C51" s="111">
        <v>52597</v>
      </c>
      <c r="D51" s="68">
        <v>207.82710647540293</v>
      </c>
      <c r="E51" s="69">
        <v>195.32622789041628</v>
      </c>
      <c r="F51" s="70">
        <v>287.86236839477613</v>
      </c>
      <c r="G51" s="69">
        <v>201.30235552082246</v>
      </c>
    </row>
    <row r="52" spans="1:7" x14ac:dyDescent="0.25">
      <c r="A52" s="97">
        <v>52475</v>
      </c>
      <c r="B52" s="105"/>
      <c r="C52" s="112">
        <v>52566</v>
      </c>
      <c r="D52" s="62">
        <v>207.62822886155089</v>
      </c>
      <c r="E52" s="63">
        <v>195.13931283980347</v>
      </c>
      <c r="F52" s="64">
        <v>287.39315508035918</v>
      </c>
      <c r="G52" s="63">
        <v>200.97423432192952</v>
      </c>
    </row>
    <row r="53" spans="1:7" x14ac:dyDescent="0.25">
      <c r="A53" s="98">
        <v>52444</v>
      </c>
      <c r="B53" s="106"/>
      <c r="C53" s="110">
        <v>52536</v>
      </c>
      <c r="D53" s="65">
        <v>207.82710647540293</v>
      </c>
      <c r="E53" s="66">
        <v>195.32622789041628</v>
      </c>
      <c r="F53" s="67">
        <v>286.68933510873387</v>
      </c>
      <c r="G53" s="66">
        <v>200.48205252359014</v>
      </c>
    </row>
    <row r="54" spans="1:7" x14ac:dyDescent="0.25">
      <c r="A54" s="98">
        <v>52413</v>
      </c>
      <c r="B54" s="106"/>
      <c r="C54" s="110">
        <v>52505</v>
      </c>
      <c r="D54" s="65">
        <v>207.42935124769875</v>
      </c>
      <c r="E54" s="66">
        <v>194.95239778919054</v>
      </c>
      <c r="F54" s="67">
        <v>286.22012179431692</v>
      </c>
      <c r="G54" s="66">
        <v>200.15393132469714</v>
      </c>
    </row>
    <row r="55" spans="1:7" x14ac:dyDescent="0.25">
      <c r="A55" s="98">
        <v>52383</v>
      </c>
      <c r="B55" s="106"/>
      <c r="C55" s="110">
        <v>52475</v>
      </c>
      <c r="D55" s="65">
        <v>206.63384079229064</v>
      </c>
      <c r="E55" s="66">
        <v>194.20473758673933</v>
      </c>
      <c r="F55" s="67">
        <v>285.51630182269162</v>
      </c>
      <c r="G55" s="66">
        <v>199.66174952635777</v>
      </c>
    </row>
    <row r="56" spans="1:7" x14ac:dyDescent="0.25">
      <c r="A56" s="98">
        <v>52352</v>
      </c>
      <c r="B56" s="106"/>
      <c r="C56" s="110">
        <v>52444</v>
      </c>
      <c r="D56" s="65">
        <v>207.62822886155089</v>
      </c>
      <c r="E56" s="66">
        <v>195.13931283980347</v>
      </c>
      <c r="F56" s="67">
        <v>284.8124818510662</v>
      </c>
      <c r="G56" s="66">
        <v>199.16956772801831</v>
      </c>
    </row>
    <row r="57" spans="1:7" x14ac:dyDescent="0.25">
      <c r="A57" s="98">
        <v>52322</v>
      </c>
      <c r="B57" s="106"/>
      <c r="C57" s="110">
        <v>52413</v>
      </c>
      <c r="D57" s="65">
        <v>208.62261693081123</v>
      </c>
      <c r="E57" s="66">
        <v>196.07388809286769</v>
      </c>
      <c r="F57" s="67">
        <v>286.58813223699678</v>
      </c>
      <c r="G57" s="66">
        <v>200.41128128461315</v>
      </c>
    </row>
    <row r="58" spans="1:7" x14ac:dyDescent="0.25">
      <c r="A58" s="98">
        <v>52291</v>
      </c>
      <c r="B58" s="106"/>
      <c r="C58" s="110">
        <v>52383</v>
      </c>
      <c r="D58" s="65">
        <v>208.82149454466327</v>
      </c>
      <c r="E58" s="66">
        <v>196.2608031434805</v>
      </c>
      <c r="F58" s="67">
        <v>285.89811265697188</v>
      </c>
      <c r="G58" s="66">
        <v>199.92875010977053</v>
      </c>
    </row>
    <row r="59" spans="1:7" x14ac:dyDescent="0.25">
      <c r="A59" s="98">
        <v>52263</v>
      </c>
      <c r="B59" s="106"/>
      <c r="C59" s="110">
        <v>52352</v>
      </c>
      <c r="D59" s="65">
        <v>209.02037215851539</v>
      </c>
      <c r="E59" s="66">
        <v>196.4477181940934</v>
      </c>
      <c r="F59" s="67">
        <v>285.20809307694714</v>
      </c>
      <c r="G59" s="66">
        <v>199.44621893492808</v>
      </c>
    </row>
    <row r="60" spans="1:7" x14ac:dyDescent="0.25">
      <c r="A60" s="98">
        <v>52232</v>
      </c>
      <c r="B60" s="106"/>
      <c r="C60" s="110">
        <v>52322</v>
      </c>
      <c r="D60" s="65">
        <v>208.4237393169592</v>
      </c>
      <c r="E60" s="66">
        <v>195.88697304225488</v>
      </c>
      <c r="F60" s="67">
        <v>284.51807349692211</v>
      </c>
      <c r="G60" s="66">
        <v>198.96368776008541</v>
      </c>
    </row>
    <row r="61" spans="1:7" x14ac:dyDescent="0.25">
      <c r="A61" s="98">
        <v>52201</v>
      </c>
      <c r="B61" s="106"/>
      <c r="C61" s="110">
        <v>52291</v>
      </c>
      <c r="D61" s="65">
        <v>208.02598408925505</v>
      </c>
      <c r="E61" s="66">
        <v>195.51314294102917</v>
      </c>
      <c r="F61" s="67">
        <v>283.59804739022246</v>
      </c>
      <c r="G61" s="66">
        <v>198.32031286029542</v>
      </c>
    </row>
    <row r="62" spans="1:7" x14ac:dyDescent="0.25">
      <c r="A62" s="98">
        <v>52171</v>
      </c>
      <c r="B62" s="106"/>
      <c r="C62" s="110">
        <v>52263</v>
      </c>
      <c r="D62" s="65">
        <v>210.21363784162764</v>
      </c>
      <c r="E62" s="66">
        <v>197.56920849777032</v>
      </c>
      <c r="F62" s="67">
        <v>282.90802781019755</v>
      </c>
      <c r="G62" s="66">
        <v>197.83778168545282</v>
      </c>
    </row>
    <row r="63" spans="1:7" x14ac:dyDescent="0.25">
      <c r="A63" s="99">
        <v>52140</v>
      </c>
      <c r="B63" s="107"/>
      <c r="C63" s="111">
        <v>52232</v>
      </c>
      <c r="D63" s="68">
        <v>203.75206517196364</v>
      </c>
      <c r="E63" s="69">
        <v>191.49630185334928</v>
      </c>
      <c r="F63" s="70">
        <v>282.21800823017264</v>
      </c>
      <c r="G63" s="69">
        <v>197.35525051061026</v>
      </c>
    </row>
    <row r="64" spans="1:7" x14ac:dyDescent="0.25">
      <c r="A64" s="97">
        <v>52110</v>
      </c>
      <c r="B64" s="105"/>
      <c r="C64" s="112">
        <v>52201</v>
      </c>
      <c r="D64" s="62">
        <v>203.55708711916753</v>
      </c>
      <c r="E64" s="63">
        <v>191.31305180372888</v>
      </c>
      <c r="F64" s="64">
        <v>281.75799517682276</v>
      </c>
      <c r="G64" s="63">
        <v>197.03356306071521</v>
      </c>
    </row>
    <row r="65" spans="1:7" x14ac:dyDescent="0.25">
      <c r="A65" s="98">
        <v>52079</v>
      </c>
      <c r="B65" s="106"/>
      <c r="C65" s="110">
        <v>52171</v>
      </c>
      <c r="D65" s="65">
        <v>203.75206517196364</v>
      </c>
      <c r="E65" s="66">
        <v>191.49630185334928</v>
      </c>
      <c r="F65" s="67">
        <v>281.06797559679791</v>
      </c>
      <c r="G65" s="66">
        <v>196.55103188587267</v>
      </c>
    </row>
    <row r="66" spans="1:7" x14ac:dyDescent="0.25">
      <c r="A66" s="98">
        <v>52048</v>
      </c>
      <c r="B66" s="106"/>
      <c r="C66" s="110">
        <v>52140</v>
      </c>
      <c r="D66" s="65">
        <v>203.36210906637132</v>
      </c>
      <c r="E66" s="66">
        <v>191.12980175410837</v>
      </c>
      <c r="F66" s="67">
        <v>280.60796254344797</v>
      </c>
      <c r="G66" s="66">
        <v>196.22934443597759</v>
      </c>
    </row>
    <row r="67" spans="1:7" x14ac:dyDescent="0.25">
      <c r="A67" s="98">
        <v>52018</v>
      </c>
      <c r="B67" s="106"/>
      <c r="C67" s="110">
        <v>52110</v>
      </c>
      <c r="D67" s="65">
        <v>202.58219685518691</v>
      </c>
      <c r="E67" s="66">
        <v>190.39680155562678</v>
      </c>
      <c r="F67" s="67">
        <v>279.91794296342312</v>
      </c>
      <c r="G67" s="66">
        <v>195.74681326113506</v>
      </c>
    </row>
    <row r="68" spans="1:7" x14ac:dyDescent="0.25">
      <c r="A68" s="98">
        <v>51987</v>
      </c>
      <c r="B68" s="106"/>
      <c r="C68" s="110">
        <v>52079</v>
      </c>
      <c r="D68" s="65">
        <v>203.55708711916753</v>
      </c>
      <c r="E68" s="66">
        <v>191.31305180372888</v>
      </c>
      <c r="F68" s="67">
        <v>279.22792338339821</v>
      </c>
      <c r="G68" s="66">
        <v>195.26428208629247</v>
      </c>
    </row>
    <row r="69" spans="1:7" x14ac:dyDescent="0.25">
      <c r="A69" s="98">
        <v>51957</v>
      </c>
      <c r="B69" s="106"/>
      <c r="C69" s="110">
        <v>52048</v>
      </c>
      <c r="D69" s="65">
        <v>204.53197738314827</v>
      </c>
      <c r="E69" s="66">
        <v>192.22930205183107</v>
      </c>
      <c r="F69" s="67">
        <v>280.96875709509487</v>
      </c>
      <c r="G69" s="66">
        <v>196.48164831824818</v>
      </c>
    </row>
    <row r="70" spans="1:7" x14ac:dyDescent="0.25">
      <c r="A70" s="98">
        <v>51926</v>
      </c>
      <c r="B70" s="106"/>
      <c r="C70" s="110">
        <v>52018</v>
      </c>
      <c r="D70" s="65">
        <v>204.72695543594438</v>
      </c>
      <c r="E70" s="66">
        <v>192.41255210145147</v>
      </c>
      <c r="F70" s="67">
        <v>280.2922673107567</v>
      </c>
      <c r="G70" s="66">
        <v>196.00857853899072</v>
      </c>
    </row>
    <row r="71" spans="1:7" x14ac:dyDescent="0.25">
      <c r="A71" s="98">
        <v>51898</v>
      </c>
      <c r="B71" s="106"/>
      <c r="C71" s="110">
        <v>51987</v>
      </c>
      <c r="D71" s="65">
        <v>204.92193348874056</v>
      </c>
      <c r="E71" s="66">
        <v>192.59580215107195</v>
      </c>
      <c r="F71" s="67">
        <v>279.61577752641875</v>
      </c>
      <c r="G71" s="66">
        <v>195.5355087597334</v>
      </c>
    </row>
    <row r="72" spans="1:7" x14ac:dyDescent="0.25">
      <c r="A72" s="98">
        <v>51867</v>
      </c>
      <c r="B72" s="106"/>
      <c r="C72" s="110">
        <v>51957</v>
      </c>
      <c r="D72" s="65">
        <v>204.33699933035217</v>
      </c>
      <c r="E72" s="66">
        <v>192.04605200221067</v>
      </c>
      <c r="F72" s="67">
        <v>278.93928774208052</v>
      </c>
      <c r="G72" s="66">
        <v>195.06243898047589</v>
      </c>
    </row>
    <row r="73" spans="1:7" x14ac:dyDescent="0.25">
      <c r="A73" s="98">
        <v>51836</v>
      </c>
      <c r="B73" s="106"/>
      <c r="C73" s="110">
        <v>51926</v>
      </c>
      <c r="D73" s="65">
        <v>203.94704322475985</v>
      </c>
      <c r="E73" s="66">
        <v>191.67955190296976</v>
      </c>
      <c r="F73" s="67">
        <v>278.03730136296315</v>
      </c>
      <c r="G73" s="66">
        <v>194.43167927479942</v>
      </c>
    </row>
    <row r="74" spans="1:7" x14ac:dyDescent="0.25">
      <c r="A74" s="98">
        <v>51806</v>
      </c>
      <c r="B74" s="106"/>
      <c r="C74" s="110">
        <v>51898</v>
      </c>
      <c r="D74" s="65">
        <v>206.09180180551726</v>
      </c>
      <c r="E74" s="66">
        <v>193.69530244879442</v>
      </c>
      <c r="F74" s="67">
        <v>277.36081157862503</v>
      </c>
      <c r="G74" s="66">
        <v>193.95860949554199</v>
      </c>
    </row>
    <row r="75" spans="1:7" x14ac:dyDescent="0.25">
      <c r="A75" s="99">
        <v>51775</v>
      </c>
      <c r="B75" s="107"/>
      <c r="C75" s="111">
        <v>51867</v>
      </c>
      <c r="D75" s="68">
        <v>199.75692663918005</v>
      </c>
      <c r="E75" s="69">
        <v>187.74147240524439</v>
      </c>
      <c r="F75" s="70">
        <v>276.68432179428692</v>
      </c>
      <c r="G75" s="69">
        <v>193.48553971628456</v>
      </c>
    </row>
    <row r="76" spans="1:7" x14ac:dyDescent="0.25">
      <c r="A76" s="97">
        <v>51745</v>
      </c>
      <c r="B76" s="105"/>
      <c r="C76" s="112">
        <v>51836</v>
      </c>
      <c r="D76" s="62">
        <v>199.56577168545837</v>
      </c>
      <c r="E76" s="63">
        <v>187.56181549385184</v>
      </c>
      <c r="F76" s="64">
        <v>276.23332860472817</v>
      </c>
      <c r="G76" s="63">
        <v>193.17015986344629</v>
      </c>
    </row>
    <row r="77" spans="1:7" x14ac:dyDescent="0.25">
      <c r="A77" s="98">
        <v>51714</v>
      </c>
      <c r="B77" s="106"/>
      <c r="C77" s="110">
        <v>51806</v>
      </c>
      <c r="D77" s="65">
        <v>199.75692663918005</v>
      </c>
      <c r="E77" s="66">
        <v>187.74147240524439</v>
      </c>
      <c r="F77" s="67">
        <v>275.55683882039011</v>
      </c>
      <c r="G77" s="66">
        <v>192.69709008418889</v>
      </c>
    </row>
    <row r="78" spans="1:7" x14ac:dyDescent="0.25">
      <c r="A78" s="98">
        <v>51683</v>
      </c>
      <c r="B78" s="106"/>
      <c r="C78" s="110">
        <v>51775</v>
      </c>
      <c r="D78" s="65">
        <v>199.37461673173661</v>
      </c>
      <c r="E78" s="66">
        <v>187.3821585824592</v>
      </c>
      <c r="F78" s="67">
        <v>275.10584563083131</v>
      </c>
      <c r="G78" s="66">
        <v>192.38171023135058</v>
      </c>
    </row>
    <row r="79" spans="1:7" x14ac:dyDescent="0.25">
      <c r="A79" s="98">
        <v>51653</v>
      </c>
      <c r="B79" s="106"/>
      <c r="C79" s="110">
        <v>51745</v>
      </c>
      <c r="D79" s="65">
        <v>198.60999691684992</v>
      </c>
      <c r="E79" s="66">
        <v>186.663530936889</v>
      </c>
      <c r="F79" s="67">
        <v>274.42935584649325</v>
      </c>
      <c r="G79" s="66">
        <v>191.90864045209318</v>
      </c>
    </row>
    <row r="80" spans="1:7" x14ac:dyDescent="0.25">
      <c r="A80" s="98">
        <v>51622</v>
      </c>
      <c r="B80" s="106"/>
      <c r="C80" s="110">
        <v>51714</v>
      </c>
      <c r="D80" s="65">
        <v>199.56577168545837</v>
      </c>
      <c r="E80" s="66">
        <v>187.56181549385184</v>
      </c>
      <c r="F80" s="67">
        <v>273.75286606215514</v>
      </c>
      <c r="G80" s="66">
        <v>191.43557067283575</v>
      </c>
    </row>
    <row r="81" spans="1:7" x14ac:dyDescent="0.25">
      <c r="A81" s="98">
        <v>51592</v>
      </c>
      <c r="B81" s="106"/>
      <c r="C81" s="110">
        <v>51683</v>
      </c>
      <c r="D81" s="65">
        <v>200.52154645406691</v>
      </c>
      <c r="E81" s="66">
        <v>188.46010005081476</v>
      </c>
      <c r="F81" s="67">
        <v>275.45956577950477</v>
      </c>
      <c r="G81" s="66">
        <v>192.62906697867467</v>
      </c>
    </row>
    <row r="82" spans="1:7" x14ac:dyDescent="0.25">
      <c r="A82" s="98">
        <v>51561</v>
      </c>
      <c r="B82" s="106"/>
      <c r="C82" s="110">
        <v>51653</v>
      </c>
      <c r="D82" s="65">
        <v>200.71270140778859</v>
      </c>
      <c r="E82" s="66">
        <v>188.63975696220731</v>
      </c>
      <c r="F82" s="67">
        <v>274.79634050074185</v>
      </c>
      <c r="G82" s="66">
        <v>192.16527307744187</v>
      </c>
    </row>
    <row r="83" spans="1:7" x14ac:dyDescent="0.25">
      <c r="A83" s="98">
        <v>51533</v>
      </c>
      <c r="B83" s="106"/>
      <c r="C83" s="110">
        <v>51622</v>
      </c>
      <c r="D83" s="65">
        <v>200.90385636151035</v>
      </c>
      <c r="E83" s="66">
        <v>188.81941387359996</v>
      </c>
      <c r="F83" s="67">
        <v>274.13311522197915</v>
      </c>
      <c r="G83" s="66">
        <v>191.7014791762092</v>
      </c>
    </row>
    <row r="84" spans="1:7" x14ac:dyDescent="0.25">
      <c r="A84" s="98">
        <v>51502</v>
      </c>
      <c r="B84" s="106"/>
      <c r="C84" s="110">
        <v>51592</v>
      </c>
      <c r="D84" s="65">
        <v>200.33039150034526</v>
      </c>
      <c r="E84" s="66">
        <v>188.28044313942223</v>
      </c>
      <c r="F84" s="67">
        <v>273.46988994321617</v>
      </c>
      <c r="G84" s="66">
        <v>191.23768527497637</v>
      </c>
    </row>
    <row r="85" spans="1:7" x14ac:dyDescent="0.25">
      <c r="A85" s="98">
        <v>51471</v>
      </c>
      <c r="B85" s="106"/>
      <c r="C85" s="110">
        <v>51561</v>
      </c>
      <c r="D85" s="65">
        <v>199.94808159290179</v>
      </c>
      <c r="E85" s="66">
        <v>187.92112931663701</v>
      </c>
      <c r="F85" s="67">
        <v>272.58558957153247</v>
      </c>
      <c r="G85" s="66">
        <v>190.61929340666609</v>
      </c>
    </row>
    <row r="86" spans="1:7" x14ac:dyDescent="0.25">
      <c r="A86" s="98">
        <v>51441</v>
      </c>
      <c r="B86" s="106"/>
      <c r="C86" s="110">
        <v>51533</v>
      </c>
      <c r="D86" s="65">
        <v>202.05078608384048</v>
      </c>
      <c r="E86" s="66">
        <v>189.89735534195532</v>
      </c>
      <c r="F86" s="67">
        <v>271.9223642927696</v>
      </c>
      <c r="G86" s="66">
        <v>190.15549950543331</v>
      </c>
    </row>
    <row r="87" spans="1:7" x14ac:dyDescent="0.25">
      <c r="A87" s="99">
        <v>51410</v>
      </c>
      <c r="B87" s="107"/>
      <c r="C87" s="111">
        <v>51502</v>
      </c>
      <c r="D87" s="68">
        <v>195.84012415605886</v>
      </c>
      <c r="E87" s="69">
        <v>184.06026706396509</v>
      </c>
      <c r="F87" s="70">
        <v>271.25913901400673</v>
      </c>
      <c r="G87" s="69">
        <v>189.69170560420054</v>
      </c>
    </row>
    <row r="88" spans="1:7" x14ac:dyDescent="0.25">
      <c r="A88" s="97">
        <v>51380</v>
      </c>
      <c r="B88" s="105"/>
      <c r="C88" s="112">
        <v>51471</v>
      </c>
      <c r="D88" s="62">
        <v>195.65271733868465</v>
      </c>
      <c r="E88" s="63">
        <v>183.88413283710963</v>
      </c>
      <c r="F88" s="64">
        <v>270.81698882816488</v>
      </c>
      <c r="G88" s="63">
        <v>189.38250967004538</v>
      </c>
    </row>
    <row r="89" spans="1:7" x14ac:dyDescent="0.25">
      <c r="A89" s="98">
        <v>51349</v>
      </c>
      <c r="B89" s="106"/>
      <c r="C89" s="110">
        <v>51441</v>
      </c>
      <c r="D89" s="65">
        <v>195.84012415605886</v>
      </c>
      <c r="E89" s="66">
        <v>184.06026706396509</v>
      </c>
      <c r="F89" s="67">
        <v>270.15376354940207</v>
      </c>
      <c r="G89" s="66">
        <v>188.91871576881263</v>
      </c>
    </row>
    <row r="90" spans="1:7" x14ac:dyDescent="0.25">
      <c r="A90" s="98">
        <v>51318</v>
      </c>
      <c r="B90" s="106"/>
      <c r="C90" s="110">
        <v>51410</v>
      </c>
      <c r="D90" s="65">
        <v>195.46531052131039</v>
      </c>
      <c r="E90" s="66">
        <v>183.70799861025412</v>
      </c>
      <c r="F90" s="67">
        <v>269.7116133635601</v>
      </c>
      <c r="G90" s="66">
        <v>188.60951983465742</v>
      </c>
    </row>
    <row r="91" spans="1:7" x14ac:dyDescent="0.25">
      <c r="A91" s="98">
        <v>51288</v>
      </c>
      <c r="B91" s="106"/>
      <c r="C91" s="110">
        <v>51380</v>
      </c>
      <c r="D91" s="65">
        <v>194.71568325181363</v>
      </c>
      <c r="E91" s="66">
        <v>183.00346170283234</v>
      </c>
      <c r="F91" s="67">
        <v>269.0483880847973</v>
      </c>
      <c r="G91" s="66">
        <v>188.14572593342467</v>
      </c>
    </row>
    <row r="92" spans="1:7" x14ac:dyDescent="0.25">
      <c r="A92" s="98">
        <v>51257</v>
      </c>
      <c r="B92" s="106"/>
      <c r="C92" s="110">
        <v>51349</v>
      </c>
      <c r="D92" s="65">
        <v>195.65271733868465</v>
      </c>
      <c r="E92" s="66">
        <v>183.88413283710963</v>
      </c>
      <c r="F92" s="67">
        <v>268.38516280603443</v>
      </c>
      <c r="G92" s="66">
        <v>187.68193203219192</v>
      </c>
    </row>
    <row r="93" spans="1:7" x14ac:dyDescent="0.25">
      <c r="A93" s="98">
        <v>51227</v>
      </c>
      <c r="B93" s="106"/>
      <c r="C93" s="110">
        <v>51318</v>
      </c>
      <c r="D93" s="65">
        <v>196.58975142555579</v>
      </c>
      <c r="E93" s="66">
        <v>184.76480397138701</v>
      </c>
      <c r="F93" s="67">
        <v>270.05839782304389</v>
      </c>
      <c r="G93" s="66">
        <v>188.85202644968103</v>
      </c>
    </row>
    <row r="94" spans="1:7" x14ac:dyDescent="0.25">
      <c r="A94" s="98">
        <v>51196</v>
      </c>
      <c r="B94" s="106"/>
      <c r="C94" s="110">
        <v>51288</v>
      </c>
      <c r="D94" s="65">
        <v>196.77715824293</v>
      </c>
      <c r="E94" s="66">
        <v>184.94093819824246</v>
      </c>
      <c r="F94" s="67">
        <v>269.40817696151163</v>
      </c>
      <c r="G94" s="66">
        <v>188.39732654651164</v>
      </c>
    </row>
    <row r="95" spans="1:7" x14ac:dyDescent="0.25">
      <c r="A95" s="98">
        <v>51167</v>
      </c>
      <c r="B95" s="106"/>
      <c r="C95" s="110">
        <v>51257</v>
      </c>
      <c r="D95" s="65">
        <v>196.9645650603043</v>
      </c>
      <c r="E95" s="66">
        <v>185.117072425098</v>
      </c>
      <c r="F95" s="67">
        <v>268.75795609997954</v>
      </c>
      <c r="G95" s="66">
        <v>187.94262664334235</v>
      </c>
    </row>
    <row r="96" spans="1:7" x14ac:dyDescent="0.25">
      <c r="A96" s="98">
        <v>51136</v>
      </c>
      <c r="B96" s="106"/>
      <c r="C96" s="110">
        <v>51227</v>
      </c>
      <c r="D96" s="65">
        <v>196.40234460818161</v>
      </c>
      <c r="E96" s="66">
        <v>184.58866974453159</v>
      </c>
      <c r="F96" s="67">
        <v>268.10773523844728</v>
      </c>
      <c r="G96" s="66">
        <v>187.48792674017292</v>
      </c>
    </row>
    <row r="97" spans="1:7" x14ac:dyDescent="0.25">
      <c r="A97" s="98">
        <v>51105</v>
      </c>
      <c r="B97" s="106"/>
      <c r="C97" s="110">
        <v>51196</v>
      </c>
      <c r="D97" s="65">
        <v>196.02753097343313</v>
      </c>
      <c r="E97" s="66">
        <v>184.2364012908206</v>
      </c>
      <c r="F97" s="67">
        <v>267.24077408973773</v>
      </c>
      <c r="G97" s="66">
        <v>186.8816602026138</v>
      </c>
    </row>
    <row r="98" spans="1:7" x14ac:dyDescent="0.25">
      <c r="A98" s="98">
        <v>51075</v>
      </c>
      <c r="B98" s="106"/>
      <c r="C98" s="110">
        <v>51167</v>
      </c>
      <c r="D98" s="65">
        <v>198.08900596454947</v>
      </c>
      <c r="E98" s="66">
        <v>186.17387778623069</v>
      </c>
      <c r="F98" s="67">
        <v>266.59055322820552</v>
      </c>
      <c r="G98" s="66">
        <v>186.42696029944443</v>
      </c>
    </row>
    <row r="99" spans="1:7" x14ac:dyDescent="0.25">
      <c r="A99" s="99">
        <v>51044</v>
      </c>
      <c r="B99" s="107"/>
      <c r="C99" s="111">
        <v>51136</v>
      </c>
      <c r="D99" s="68">
        <v>192.00012172162633</v>
      </c>
      <c r="E99" s="69">
        <v>180.4512422195736</v>
      </c>
      <c r="F99" s="70">
        <v>265.94033236667326</v>
      </c>
      <c r="G99" s="69">
        <v>185.97226039627503</v>
      </c>
    </row>
    <row r="100" spans="1:7" x14ac:dyDescent="0.25">
      <c r="A100" s="97">
        <v>51014</v>
      </c>
      <c r="B100" s="105"/>
      <c r="C100" s="112">
        <v>51105</v>
      </c>
      <c r="D100" s="62">
        <v>191.81638954773004</v>
      </c>
      <c r="E100" s="63">
        <v>180.27856160500943</v>
      </c>
      <c r="F100" s="64">
        <v>265.50685179231851</v>
      </c>
      <c r="G100" s="63">
        <v>185.66912712749547</v>
      </c>
    </row>
    <row r="101" spans="1:7" x14ac:dyDescent="0.25">
      <c r="A101" s="98">
        <v>50983</v>
      </c>
      <c r="B101" s="106"/>
      <c r="C101" s="110">
        <v>51075</v>
      </c>
      <c r="D101" s="65">
        <v>192.00012172162633</v>
      </c>
      <c r="E101" s="66">
        <v>180.4512422195736</v>
      </c>
      <c r="F101" s="67">
        <v>264.85663093078631</v>
      </c>
      <c r="G101" s="66">
        <v>185.2144272243261</v>
      </c>
    </row>
    <row r="102" spans="1:7" x14ac:dyDescent="0.25">
      <c r="A102" s="98">
        <v>50952</v>
      </c>
      <c r="B102" s="106"/>
      <c r="C102" s="110">
        <v>51044</v>
      </c>
      <c r="D102" s="65">
        <v>191.63265737383372</v>
      </c>
      <c r="E102" s="66">
        <v>180.10588099044523</v>
      </c>
      <c r="F102" s="67">
        <v>264.42315035643145</v>
      </c>
      <c r="G102" s="66">
        <v>184.91129395554648</v>
      </c>
    </row>
    <row r="103" spans="1:7" x14ac:dyDescent="0.25">
      <c r="A103" s="98">
        <v>50922</v>
      </c>
      <c r="B103" s="106"/>
      <c r="C103" s="110">
        <v>51014</v>
      </c>
      <c r="D103" s="65">
        <v>190.89772867824865</v>
      </c>
      <c r="E103" s="66">
        <v>179.41515853218857</v>
      </c>
      <c r="F103" s="67">
        <v>263.77292949489924</v>
      </c>
      <c r="G103" s="66">
        <v>184.45659405237711</v>
      </c>
    </row>
    <row r="104" spans="1:7" x14ac:dyDescent="0.25">
      <c r="A104" s="98">
        <v>50891</v>
      </c>
      <c r="B104" s="106"/>
      <c r="C104" s="110">
        <v>50983</v>
      </c>
      <c r="D104" s="65">
        <v>191.81638954773004</v>
      </c>
      <c r="E104" s="66">
        <v>180.27856160500943</v>
      </c>
      <c r="F104" s="67">
        <v>263.1227086333671</v>
      </c>
      <c r="G104" s="66">
        <v>184.00189414920777</v>
      </c>
    </row>
    <row r="105" spans="1:7" x14ac:dyDescent="0.25">
      <c r="A105" s="98">
        <v>50861</v>
      </c>
      <c r="B105" s="106"/>
      <c r="C105" s="110">
        <v>50952</v>
      </c>
      <c r="D105" s="65">
        <v>192.73505041721157</v>
      </c>
      <c r="E105" s="66">
        <v>181.1419646778304</v>
      </c>
      <c r="F105" s="67">
        <v>264.76313512063126</v>
      </c>
      <c r="G105" s="66">
        <v>185.14904553890298</v>
      </c>
    </row>
    <row r="106" spans="1:7" x14ac:dyDescent="0.25">
      <c r="A106" s="98">
        <v>50830</v>
      </c>
      <c r="B106" s="106"/>
      <c r="C106" s="110">
        <v>50922</v>
      </c>
      <c r="D106" s="65">
        <v>192.91878259110783</v>
      </c>
      <c r="E106" s="66">
        <v>181.31464529239457</v>
      </c>
      <c r="F106" s="67">
        <v>264.12566368775651</v>
      </c>
      <c r="G106" s="66">
        <v>184.70326132010945</v>
      </c>
    </row>
    <row r="107" spans="1:7" x14ac:dyDescent="0.25">
      <c r="A107" s="98">
        <v>50802</v>
      </c>
      <c r="B107" s="106"/>
      <c r="C107" s="110">
        <v>50891</v>
      </c>
      <c r="D107" s="65">
        <v>193.1025147650042</v>
      </c>
      <c r="E107" s="66">
        <v>181.48732590695883</v>
      </c>
      <c r="F107" s="67">
        <v>263.48819225488188</v>
      </c>
      <c r="G107" s="66">
        <v>184.25747710131603</v>
      </c>
    </row>
    <row r="108" spans="1:7" x14ac:dyDescent="0.25">
      <c r="A108" s="98">
        <v>50771</v>
      </c>
      <c r="B108" s="106"/>
      <c r="C108" s="110">
        <v>50861</v>
      </c>
      <c r="D108" s="65">
        <v>192.55131824331531</v>
      </c>
      <c r="E108" s="66">
        <v>180.96928406326626</v>
      </c>
      <c r="F108" s="67">
        <v>262.85072082200713</v>
      </c>
      <c r="G108" s="66">
        <v>183.81169288252246</v>
      </c>
    </row>
    <row r="109" spans="1:7" x14ac:dyDescent="0.25">
      <c r="A109" s="98">
        <v>50740</v>
      </c>
      <c r="B109" s="106"/>
      <c r="C109" s="110">
        <v>50830</v>
      </c>
      <c r="D109" s="65">
        <v>192.18385389552267</v>
      </c>
      <c r="E109" s="66">
        <v>180.62392283413783</v>
      </c>
      <c r="F109" s="67">
        <v>262.00075891150755</v>
      </c>
      <c r="G109" s="66">
        <v>183.21731392413116</v>
      </c>
    </row>
    <row r="110" spans="1:7" x14ac:dyDescent="0.25">
      <c r="A110" s="98">
        <v>50710</v>
      </c>
      <c r="B110" s="106"/>
      <c r="C110" s="110">
        <v>50802</v>
      </c>
      <c r="D110" s="65">
        <v>194.20490780838182</v>
      </c>
      <c r="E110" s="66">
        <v>182.5234095943438</v>
      </c>
      <c r="F110" s="67">
        <v>261.36328747863286</v>
      </c>
      <c r="G110" s="66">
        <v>182.77152970533768</v>
      </c>
    </row>
    <row r="111" spans="1:7" x14ac:dyDescent="0.25">
      <c r="A111" s="99">
        <v>50679</v>
      </c>
      <c r="B111" s="107"/>
      <c r="C111" s="111">
        <v>50771</v>
      </c>
      <c r="D111" s="68">
        <v>188.23541345257482</v>
      </c>
      <c r="E111" s="69">
        <v>176.9129825682094</v>
      </c>
      <c r="F111" s="70">
        <v>260.72581604575811</v>
      </c>
      <c r="G111" s="69">
        <v>182.32574548654415</v>
      </c>
    </row>
    <row r="112" spans="1:7" x14ac:dyDescent="0.25">
      <c r="A112" s="97">
        <v>50649</v>
      </c>
      <c r="B112" s="105"/>
      <c r="C112" s="112">
        <v>50740</v>
      </c>
      <c r="D112" s="62">
        <v>188.05528387032359</v>
      </c>
      <c r="E112" s="63">
        <v>176.74368784804847</v>
      </c>
      <c r="F112" s="64">
        <v>260.30083509050831</v>
      </c>
      <c r="G112" s="63">
        <v>182.0285560073485</v>
      </c>
    </row>
    <row r="113" spans="1:7" x14ac:dyDescent="0.25">
      <c r="A113" s="98">
        <v>50618</v>
      </c>
      <c r="B113" s="106"/>
      <c r="C113" s="110">
        <v>50710</v>
      </c>
      <c r="D113" s="65">
        <v>188.23541345257482</v>
      </c>
      <c r="E113" s="66">
        <v>176.9129825682094</v>
      </c>
      <c r="F113" s="67">
        <v>259.66336365763362</v>
      </c>
      <c r="G113" s="66">
        <v>181.58277178855499</v>
      </c>
    </row>
    <row r="114" spans="1:7" x14ac:dyDescent="0.25">
      <c r="A114" s="98">
        <v>50587</v>
      </c>
      <c r="B114" s="106"/>
      <c r="C114" s="110">
        <v>50679</v>
      </c>
      <c r="D114" s="65">
        <v>187.87515428807228</v>
      </c>
      <c r="E114" s="66">
        <v>176.57439312788748</v>
      </c>
      <c r="F114" s="67">
        <v>259.23838270238377</v>
      </c>
      <c r="G114" s="66">
        <v>181.28558230935928</v>
      </c>
    </row>
    <row r="115" spans="1:7" x14ac:dyDescent="0.25">
      <c r="A115" s="98">
        <v>50557</v>
      </c>
      <c r="B115" s="106"/>
      <c r="C115" s="110">
        <v>50649</v>
      </c>
      <c r="D115" s="65">
        <v>187.15463595906729</v>
      </c>
      <c r="E115" s="66">
        <v>175.89721424724368</v>
      </c>
      <c r="F115" s="67">
        <v>258.60091126950908</v>
      </c>
      <c r="G115" s="66">
        <v>180.83979809056581</v>
      </c>
    </row>
    <row r="116" spans="1:7" x14ac:dyDescent="0.25">
      <c r="A116" s="98">
        <v>50526</v>
      </c>
      <c r="B116" s="106"/>
      <c r="C116" s="110">
        <v>50618</v>
      </c>
      <c r="D116" s="65">
        <v>188.05528387032359</v>
      </c>
      <c r="E116" s="66">
        <v>176.74368784804847</v>
      </c>
      <c r="F116" s="67">
        <v>257.96343983663439</v>
      </c>
      <c r="G116" s="66">
        <v>180.39401387177233</v>
      </c>
    </row>
    <row r="117" spans="1:7" x14ac:dyDescent="0.25">
      <c r="A117" s="98">
        <v>50496</v>
      </c>
      <c r="B117" s="106"/>
      <c r="C117" s="110">
        <v>50587</v>
      </c>
      <c r="D117" s="65">
        <v>188.95593178157995</v>
      </c>
      <c r="E117" s="66">
        <v>177.59016144885334</v>
      </c>
      <c r="F117" s="67">
        <v>259.57170109865808</v>
      </c>
      <c r="G117" s="66">
        <v>181.51867209696371</v>
      </c>
    </row>
    <row r="118" spans="1:7" x14ac:dyDescent="0.25">
      <c r="A118" s="98">
        <v>50465</v>
      </c>
      <c r="B118" s="106"/>
      <c r="C118" s="110">
        <v>50557</v>
      </c>
      <c r="D118" s="65">
        <v>189.1360613638312</v>
      </c>
      <c r="E118" s="66">
        <v>177.75945616901427</v>
      </c>
      <c r="F118" s="67">
        <v>258.94672910564361</v>
      </c>
      <c r="G118" s="66">
        <v>181.08162874520534</v>
      </c>
    </row>
    <row r="119" spans="1:7" x14ac:dyDescent="0.25">
      <c r="A119" s="98">
        <v>50437</v>
      </c>
      <c r="B119" s="106"/>
      <c r="C119" s="110">
        <v>50526</v>
      </c>
      <c r="D119" s="65">
        <v>189.31619094608254</v>
      </c>
      <c r="E119" s="66">
        <v>177.92875088917532</v>
      </c>
      <c r="F119" s="67">
        <v>258.32175711262931</v>
      </c>
      <c r="G119" s="66">
        <v>180.64458539344707</v>
      </c>
    </row>
    <row r="120" spans="1:7" x14ac:dyDescent="0.25">
      <c r="A120" s="98">
        <v>50406</v>
      </c>
      <c r="B120" s="106"/>
      <c r="C120" s="110">
        <v>50496</v>
      </c>
      <c r="D120" s="65">
        <v>188.77580219932872</v>
      </c>
      <c r="E120" s="66">
        <v>177.4208667286924</v>
      </c>
      <c r="F120" s="67">
        <v>257.69678511961484</v>
      </c>
      <c r="G120" s="66">
        <v>180.2075420416887</v>
      </c>
    </row>
    <row r="121" spans="1:7" x14ac:dyDescent="0.25">
      <c r="A121" s="98">
        <v>50375</v>
      </c>
      <c r="B121" s="106"/>
      <c r="C121" s="110">
        <v>50465</v>
      </c>
      <c r="D121" s="65">
        <v>188.41554303482613</v>
      </c>
      <c r="E121" s="66">
        <v>177.08227728837042</v>
      </c>
      <c r="F121" s="67">
        <v>256.86348912892896</v>
      </c>
      <c r="G121" s="66">
        <v>179.62481757267761</v>
      </c>
    </row>
    <row r="122" spans="1:7" x14ac:dyDescent="0.25">
      <c r="A122" s="98">
        <v>50345</v>
      </c>
      <c r="B122" s="106"/>
      <c r="C122" s="110">
        <v>50437</v>
      </c>
      <c r="D122" s="65">
        <v>190.39696843959001</v>
      </c>
      <c r="E122" s="66">
        <v>178.94451921014098</v>
      </c>
      <c r="F122" s="67">
        <v>256.23851713591461</v>
      </c>
      <c r="G122" s="66">
        <v>179.18777422091929</v>
      </c>
    </row>
    <row r="123" spans="1:7" x14ac:dyDescent="0.25">
      <c r="A123" s="99">
        <v>50314</v>
      </c>
      <c r="B123" s="107"/>
      <c r="C123" s="111">
        <v>50406</v>
      </c>
      <c r="D123" s="68">
        <v>184.5445229927204</v>
      </c>
      <c r="E123" s="69">
        <v>173.44410055706803</v>
      </c>
      <c r="F123" s="70">
        <v>255.61354514290011</v>
      </c>
      <c r="G123" s="69">
        <v>178.75073086916092</v>
      </c>
    </row>
    <row r="124" spans="1:7" x14ac:dyDescent="0.25">
      <c r="A124" s="97">
        <v>50284</v>
      </c>
      <c r="B124" s="105"/>
      <c r="C124" s="112">
        <v>50375</v>
      </c>
      <c r="D124" s="62">
        <v>184.36792536306234</v>
      </c>
      <c r="E124" s="63">
        <v>173.27812534122398</v>
      </c>
      <c r="F124" s="64">
        <v>255.19689714755719</v>
      </c>
      <c r="G124" s="63">
        <v>178.45936863465539</v>
      </c>
    </row>
    <row r="125" spans="1:7" x14ac:dyDescent="0.25">
      <c r="A125" s="98">
        <v>50253</v>
      </c>
      <c r="B125" s="106"/>
      <c r="C125" s="110">
        <v>50345</v>
      </c>
      <c r="D125" s="65">
        <v>184.5445229927204</v>
      </c>
      <c r="E125" s="66">
        <v>173.44410055706803</v>
      </c>
      <c r="F125" s="67">
        <v>254.57192515454275</v>
      </c>
      <c r="G125" s="66">
        <v>178.02232528289704</v>
      </c>
    </row>
    <row r="126" spans="1:7" x14ac:dyDescent="0.25">
      <c r="A126" s="98">
        <v>50222</v>
      </c>
      <c r="B126" s="106"/>
      <c r="C126" s="110">
        <v>50314</v>
      </c>
      <c r="D126" s="65">
        <v>184.19132773340419</v>
      </c>
      <c r="E126" s="66">
        <v>173.11215012537988</v>
      </c>
      <c r="F126" s="67">
        <v>254.15527715919978</v>
      </c>
      <c r="G126" s="66">
        <v>177.73096304839146</v>
      </c>
    </row>
    <row r="127" spans="1:7" x14ac:dyDescent="0.25">
      <c r="A127" s="98">
        <v>50192</v>
      </c>
      <c r="B127" s="106"/>
      <c r="C127" s="110">
        <v>50284</v>
      </c>
      <c r="D127" s="65">
        <v>183.48493721477183</v>
      </c>
      <c r="E127" s="66">
        <v>172.4482492620036</v>
      </c>
      <c r="F127" s="67">
        <v>253.53030516618537</v>
      </c>
      <c r="G127" s="66">
        <v>177.29391969663314</v>
      </c>
    </row>
    <row r="128" spans="1:7" x14ac:dyDescent="0.25">
      <c r="A128" s="98">
        <v>50161</v>
      </c>
      <c r="B128" s="106"/>
      <c r="C128" s="110">
        <v>50253</v>
      </c>
      <c r="D128" s="65">
        <v>184.36792536306234</v>
      </c>
      <c r="E128" s="66">
        <v>173.27812534122398</v>
      </c>
      <c r="F128" s="67">
        <v>252.90533317317099</v>
      </c>
      <c r="G128" s="66">
        <v>176.85687634487482</v>
      </c>
    </row>
    <row r="129" spans="1:7" x14ac:dyDescent="0.25">
      <c r="A129" s="98">
        <v>50131</v>
      </c>
      <c r="B129" s="106"/>
      <c r="C129" s="110">
        <v>50222</v>
      </c>
      <c r="D129" s="65">
        <v>185.25091351135291</v>
      </c>
      <c r="E129" s="66">
        <v>174.10800142044445</v>
      </c>
      <c r="F129" s="67">
        <v>254.48205990064517</v>
      </c>
      <c r="G129" s="66">
        <v>177.95948244800363</v>
      </c>
    </row>
    <row r="130" spans="1:7" x14ac:dyDescent="0.25">
      <c r="A130" s="98">
        <v>50100</v>
      </c>
      <c r="B130" s="106"/>
      <c r="C130" s="110">
        <v>50192</v>
      </c>
      <c r="D130" s="65">
        <v>185.42751114101097</v>
      </c>
      <c r="E130" s="66">
        <v>174.2739766362885</v>
      </c>
      <c r="F130" s="67">
        <v>253.86934226043493</v>
      </c>
      <c r="G130" s="66">
        <v>177.53100857373073</v>
      </c>
    </row>
    <row r="131" spans="1:7" x14ac:dyDescent="0.25">
      <c r="A131" s="98">
        <v>50072</v>
      </c>
      <c r="B131" s="106"/>
      <c r="C131" s="110">
        <v>50161</v>
      </c>
      <c r="D131" s="65">
        <v>185.60410877066914</v>
      </c>
      <c r="E131" s="66">
        <v>174.43995185213265</v>
      </c>
      <c r="F131" s="67">
        <v>253.25662462022481</v>
      </c>
      <c r="G131" s="66">
        <v>177.10253469945792</v>
      </c>
    </row>
    <row r="132" spans="1:7" x14ac:dyDescent="0.25">
      <c r="A132" s="98">
        <v>50041</v>
      </c>
      <c r="B132" s="106"/>
      <c r="C132" s="110">
        <v>50131</v>
      </c>
      <c r="D132" s="65">
        <v>185.07431588169482</v>
      </c>
      <c r="E132" s="66">
        <v>173.94202620460038</v>
      </c>
      <c r="F132" s="67">
        <v>252.64390698001452</v>
      </c>
      <c r="G132" s="66">
        <v>176.67406082518499</v>
      </c>
    </row>
    <row r="133" spans="1:7" x14ac:dyDescent="0.25">
      <c r="A133" s="98">
        <v>50010</v>
      </c>
      <c r="B133" s="106"/>
      <c r="C133" s="110">
        <v>50100</v>
      </c>
      <c r="D133" s="65">
        <v>184.72112062237858</v>
      </c>
      <c r="E133" s="66">
        <v>173.61007577291218</v>
      </c>
      <c r="F133" s="67">
        <v>251.82695012640096</v>
      </c>
      <c r="G133" s="66">
        <v>176.10276232615453</v>
      </c>
    </row>
    <row r="134" spans="1:7" x14ac:dyDescent="0.25">
      <c r="A134" s="98">
        <v>49980</v>
      </c>
      <c r="B134" s="106"/>
      <c r="C134" s="110">
        <v>50072</v>
      </c>
      <c r="D134" s="65">
        <v>186.66369454861768</v>
      </c>
      <c r="E134" s="66">
        <v>175.43580314719705</v>
      </c>
      <c r="F134" s="67">
        <v>251.21423248619078</v>
      </c>
      <c r="G134" s="66">
        <v>175.67428845188167</v>
      </c>
    </row>
    <row r="135" spans="1:7" x14ac:dyDescent="0.25">
      <c r="A135" s="99">
        <v>49949</v>
      </c>
      <c r="B135" s="107"/>
      <c r="C135" s="111">
        <v>50041</v>
      </c>
      <c r="D135" s="68">
        <v>180.92600293403962</v>
      </c>
      <c r="E135" s="69">
        <v>170.04323584026278</v>
      </c>
      <c r="F135" s="70">
        <v>250.60151484598049</v>
      </c>
      <c r="G135" s="69">
        <v>175.24581457760874</v>
      </c>
    </row>
    <row r="136" spans="1:7" x14ac:dyDescent="0.25">
      <c r="A136" s="97">
        <v>49919</v>
      </c>
      <c r="B136" s="105"/>
      <c r="C136" s="112">
        <v>50010</v>
      </c>
      <c r="D136" s="62">
        <v>180.75286800300228</v>
      </c>
      <c r="E136" s="63">
        <v>169.88051504041567</v>
      </c>
      <c r="F136" s="64">
        <v>250.19303641917372</v>
      </c>
      <c r="G136" s="63">
        <v>174.96016532809352</v>
      </c>
    </row>
    <row r="137" spans="1:7" x14ac:dyDescent="0.25">
      <c r="A137" s="98">
        <v>49888</v>
      </c>
      <c r="B137" s="106"/>
      <c r="C137" s="110">
        <v>49980</v>
      </c>
      <c r="D137" s="65">
        <v>180.92600293403962</v>
      </c>
      <c r="E137" s="66">
        <v>170.04323584026278</v>
      </c>
      <c r="F137" s="67">
        <v>249.58031877896349</v>
      </c>
      <c r="G137" s="66">
        <v>174.53169145382063</v>
      </c>
    </row>
    <row r="138" spans="1:7" x14ac:dyDescent="0.25">
      <c r="A138" s="98">
        <v>49857</v>
      </c>
      <c r="B138" s="106"/>
      <c r="C138" s="110">
        <v>49949</v>
      </c>
      <c r="D138" s="65">
        <v>180.57973307196491</v>
      </c>
      <c r="E138" s="66">
        <v>169.71779424056851</v>
      </c>
      <c r="F138" s="67">
        <v>249.17184035215664</v>
      </c>
      <c r="G138" s="66">
        <v>174.24604220430535</v>
      </c>
    </row>
    <row r="139" spans="1:7" x14ac:dyDescent="0.25">
      <c r="A139" s="98">
        <v>49827</v>
      </c>
      <c r="B139" s="106"/>
      <c r="C139" s="110">
        <v>49919</v>
      </c>
      <c r="D139" s="65">
        <v>179.88719334781553</v>
      </c>
      <c r="E139" s="66">
        <v>169.06691104117999</v>
      </c>
      <c r="F139" s="67">
        <v>248.55912271194646</v>
      </c>
      <c r="G139" s="66">
        <v>173.81756833003249</v>
      </c>
    </row>
    <row r="140" spans="1:7" x14ac:dyDescent="0.25">
      <c r="A140" s="98">
        <v>49796</v>
      </c>
      <c r="B140" s="106"/>
      <c r="C140" s="110">
        <v>49888</v>
      </c>
      <c r="D140" s="65">
        <v>180.75286800300228</v>
      </c>
      <c r="E140" s="66">
        <v>169.88051504041567</v>
      </c>
      <c r="F140" s="67">
        <v>247.94640507173625</v>
      </c>
      <c r="G140" s="66">
        <v>173.38909445575962</v>
      </c>
    </row>
    <row r="141" spans="1:7" x14ac:dyDescent="0.25">
      <c r="A141" s="98">
        <v>49766</v>
      </c>
      <c r="B141" s="106"/>
      <c r="C141" s="110">
        <v>49857</v>
      </c>
      <c r="D141" s="65">
        <v>181.61854265818911</v>
      </c>
      <c r="E141" s="66">
        <v>170.69411903965141</v>
      </c>
      <c r="F141" s="67">
        <v>249.49221558886779</v>
      </c>
      <c r="G141" s="66">
        <v>174.47008083137609</v>
      </c>
    </row>
    <row r="142" spans="1:7" x14ac:dyDescent="0.25">
      <c r="A142" s="98">
        <v>49735</v>
      </c>
      <c r="B142" s="106"/>
      <c r="C142" s="110">
        <v>49827</v>
      </c>
      <c r="D142" s="65">
        <v>181.79167758922642</v>
      </c>
      <c r="E142" s="66">
        <v>170.85683983949852</v>
      </c>
      <c r="F142" s="67">
        <v>248.89151202003427</v>
      </c>
      <c r="G142" s="66">
        <v>174.05000840561837</v>
      </c>
    </row>
    <row r="143" spans="1:7" x14ac:dyDescent="0.25">
      <c r="A143" s="98">
        <v>49706</v>
      </c>
      <c r="B143" s="106"/>
      <c r="C143" s="110">
        <v>49796</v>
      </c>
      <c r="D143" s="65">
        <v>181.96481252026388</v>
      </c>
      <c r="E143" s="66">
        <v>171.01956063934574</v>
      </c>
      <c r="F143" s="67">
        <v>248.2908084512008</v>
      </c>
      <c r="G143" s="66">
        <v>173.6299359798607</v>
      </c>
    </row>
    <row r="144" spans="1:7" x14ac:dyDescent="0.25">
      <c r="A144" s="98">
        <v>49675</v>
      </c>
      <c r="B144" s="106"/>
      <c r="C144" s="110">
        <v>49766</v>
      </c>
      <c r="D144" s="65">
        <v>181.4454077271518</v>
      </c>
      <c r="E144" s="66">
        <v>170.5313982398043</v>
      </c>
      <c r="F144" s="67">
        <v>247.69010488236717</v>
      </c>
      <c r="G144" s="66">
        <v>173.20986355410292</v>
      </c>
    </row>
    <row r="145" spans="1:7" x14ac:dyDescent="0.25">
      <c r="A145" s="98">
        <v>49644</v>
      </c>
      <c r="B145" s="106"/>
      <c r="C145" s="110">
        <v>49735</v>
      </c>
      <c r="D145" s="65">
        <v>181.09913786507701</v>
      </c>
      <c r="E145" s="66">
        <v>170.20595664010997</v>
      </c>
      <c r="F145" s="67">
        <v>246.8891667905892</v>
      </c>
      <c r="G145" s="66">
        <v>172.64976698642602</v>
      </c>
    </row>
    <row r="146" spans="1:7" x14ac:dyDescent="0.25">
      <c r="A146" s="98">
        <v>49614</v>
      </c>
      <c r="B146" s="106"/>
      <c r="C146" s="110">
        <v>49706</v>
      </c>
      <c r="D146" s="65">
        <v>183.00362210648791</v>
      </c>
      <c r="E146" s="66">
        <v>171.99588543842847</v>
      </c>
      <c r="F146" s="67">
        <v>246.28846322175565</v>
      </c>
      <c r="G146" s="66">
        <v>172.22969456066829</v>
      </c>
    </row>
    <row r="147" spans="1:7" x14ac:dyDescent="0.25">
      <c r="A147" s="99">
        <v>49583</v>
      </c>
      <c r="B147" s="107"/>
      <c r="C147" s="111">
        <v>49675</v>
      </c>
      <c r="D147" s="68">
        <v>177.37843424905844</v>
      </c>
      <c r="E147" s="69">
        <v>166.70905474535567</v>
      </c>
      <c r="F147" s="70">
        <v>245.68775965292207</v>
      </c>
      <c r="G147" s="69">
        <v>171.80962213491054</v>
      </c>
    </row>
    <row r="148" spans="1:7" x14ac:dyDescent="0.25">
      <c r="A148" s="97">
        <v>49553</v>
      </c>
      <c r="B148" s="105"/>
      <c r="C148" s="112">
        <v>49644</v>
      </c>
      <c r="D148" s="62">
        <v>177.20869412059048</v>
      </c>
      <c r="E148" s="63">
        <v>166.54952454942713</v>
      </c>
      <c r="F148" s="64">
        <v>245.28729060703307</v>
      </c>
      <c r="G148" s="63">
        <v>171.52957385107209</v>
      </c>
    </row>
    <row r="149" spans="1:7" x14ac:dyDescent="0.25">
      <c r="A149" s="98">
        <v>49522</v>
      </c>
      <c r="B149" s="106"/>
      <c r="C149" s="110">
        <v>49614</v>
      </c>
      <c r="D149" s="65">
        <v>177.37843424905844</v>
      </c>
      <c r="E149" s="66">
        <v>166.70905474535567</v>
      </c>
      <c r="F149" s="67">
        <v>244.68658703819949</v>
      </c>
      <c r="G149" s="66">
        <v>171.10950142531433</v>
      </c>
    </row>
    <row r="150" spans="1:7" x14ac:dyDescent="0.25">
      <c r="A150" s="98">
        <v>49491</v>
      </c>
      <c r="B150" s="106"/>
      <c r="C150" s="110">
        <v>49583</v>
      </c>
      <c r="D150" s="65">
        <v>177.03895399212246</v>
      </c>
      <c r="E150" s="66">
        <v>166.38999435349854</v>
      </c>
      <c r="F150" s="67">
        <v>244.28611799231041</v>
      </c>
      <c r="G150" s="66">
        <v>170.82945314147582</v>
      </c>
    </row>
    <row r="151" spans="1:7" x14ac:dyDescent="0.25">
      <c r="A151" s="98">
        <v>49461</v>
      </c>
      <c r="B151" s="106"/>
      <c r="C151" s="110">
        <v>49553</v>
      </c>
      <c r="D151" s="65">
        <v>176.35999347825049</v>
      </c>
      <c r="E151" s="66">
        <v>165.75187356978429</v>
      </c>
      <c r="F151" s="67">
        <v>243.68541442347691</v>
      </c>
      <c r="G151" s="66">
        <v>170.40938071571813</v>
      </c>
    </row>
    <row r="152" spans="1:7" x14ac:dyDescent="0.25">
      <c r="A152" s="98">
        <v>49430</v>
      </c>
      <c r="B152" s="106"/>
      <c r="C152" s="110">
        <v>49522</v>
      </c>
      <c r="D152" s="65">
        <v>177.20869412059048</v>
      </c>
      <c r="E152" s="66">
        <v>166.54952454942713</v>
      </c>
      <c r="F152" s="67">
        <v>243.08471085464336</v>
      </c>
      <c r="G152" s="66">
        <v>169.98930828996041</v>
      </c>
    </row>
    <row r="153" spans="1:7" x14ac:dyDescent="0.25">
      <c r="A153" s="98">
        <v>49400</v>
      </c>
      <c r="B153" s="106"/>
      <c r="C153" s="110">
        <v>49491</v>
      </c>
      <c r="D153" s="65">
        <v>178.0573947629305</v>
      </c>
      <c r="E153" s="66">
        <v>167.34717552907</v>
      </c>
      <c r="F153" s="67">
        <v>244.6002113616351</v>
      </c>
      <c r="G153" s="66">
        <v>171.04909885429029</v>
      </c>
    </row>
    <row r="154" spans="1:7" x14ac:dyDescent="0.25">
      <c r="A154" s="98">
        <v>49369</v>
      </c>
      <c r="B154" s="106"/>
      <c r="C154" s="110">
        <v>49461</v>
      </c>
      <c r="D154" s="65">
        <v>178.22713489139846</v>
      </c>
      <c r="E154" s="66">
        <v>167.50670572499854</v>
      </c>
      <c r="F154" s="67">
        <v>244.01128629415126</v>
      </c>
      <c r="G154" s="66">
        <v>170.63726314276312</v>
      </c>
    </row>
    <row r="155" spans="1:7" x14ac:dyDescent="0.25">
      <c r="A155" s="98">
        <v>49341</v>
      </c>
      <c r="B155" s="106"/>
      <c r="C155" s="110">
        <v>49430</v>
      </c>
      <c r="D155" s="65">
        <v>178.39687501986654</v>
      </c>
      <c r="E155" s="66">
        <v>167.66623592092719</v>
      </c>
      <c r="F155" s="67">
        <v>243.42236122666742</v>
      </c>
      <c r="G155" s="66">
        <v>170.22542743123597</v>
      </c>
    </row>
    <row r="156" spans="1:7" x14ac:dyDescent="0.25">
      <c r="A156" s="98">
        <v>49310</v>
      </c>
      <c r="B156" s="106"/>
      <c r="C156" s="110">
        <v>49400</v>
      </c>
      <c r="D156" s="65">
        <v>177.88765463446254</v>
      </c>
      <c r="E156" s="66">
        <v>167.18764533314146</v>
      </c>
      <c r="F156" s="67">
        <v>242.83343615918349</v>
      </c>
      <c r="G156" s="66">
        <v>169.81359171970874</v>
      </c>
    </row>
    <row r="157" spans="1:7" x14ac:dyDescent="0.25">
      <c r="A157" s="98">
        <v>49279</v>
      </c>
      <c r="B157" s="106"/>
      <c r="C157" s="110">
        <v>49369</v>
      </c>
      <c r="D157" s="65">
        <v>177.54817437752649</v>
      </c>
      <c r="E157" s="66">
        <v>166.8685849412843</v>
      </c>
      <c r="F157" s="67">
        <v>242.04820273587174</v>
      </c>
      <c r="G157" s="66">
        <v>169.26447743767255</v>
      </c>
    </row>
    <row r="158" spans="1:7" x14ac:dyDescent="0.25">
      <c r="A158" s="98">
        <v>49249</v>
      </c>
      <c r="B158" s="106"/>
      <c r="C158" s="110">
        <v>49341</v>
      </c>
      <c r="D158" s="65">
        <v>179.41531579067444</v>
      </c>
      <c r="E158" s="66">
        <v>168.62341709649851</v>
      </c>
      <c r="F158" s="67">
        <v>241.45927766838787</v>
      </c>
      <c r="G158" s="66">
        <v>168.85264172614538</v>
      </c>
    </row>
    <row r="159" spans="1:7" x14ac:dyDescent="0.25">
      <c r="A159" s="99">
        <v>49218</v>
      </c>
      <c r="B159" s="107"/>
      <c r="C159" s="111">
        <v>49310</v>
      </c>
      <c r="D159" s="68">
        <v>173.90042573437103</v>
      </c>
      <c r="E159" s="69">
        <v>163.4402497503487</v>
      </c>
      <c r="F159" s="70">
        <v>240.87035260090397</v>
      </c>
      <c r="G159" s="69">
        <v>168.44080601461818</v>
      </c>
    </row>
    <row r="160" spans="1:7" x14ac:dyDescent="0.25">
      <c r="A160" s="97">
        <v>49188</v>
      </c>
      <c r="B160" s="105"/>
      <c r="C160" s="112">
        <v>49279</v>
      </c>
      <c r="D160" s="62">
        <v>173.73401384371616</v>
      </c>
      <c r="E160" s="63">
        <v>163.28384759747757</v>
      </c>
      <c r="F160" s="64">
        <v>240.47773588924809</v>
      </c>
      <c r="G160" s="63">
        <v>168.16624887360007</v>
      </c>
    </row>
    <row r="161" spans="1:7" x14ac:dyDescent="0.25">
      <c r="A161" s="98">
        <v>49157</v>
      </c>
      <c r="B161" s="106"/>
      <c r="C161" s="110">
        <v>49249</v>
      </c>
      <c r="D161" s="65">
        <v>173.90042573437103</v>
      </c>
      <c r="E161" s="66">
        <v>163.4402497503487</v>
      </c>
      <c r="F161" s="67">
        <v>239.8888108217642</v>
      </c>
      <c r="G161" s="66">
        <v>167.75441316207286</v>
      </c>
    </row>
    <row r="162" spans="1:7" x14ac:dyDescent="0.25">
      <c r="A162" s="98">
        <v>49126</v>
      </c>
      <c r="B162" s="106"/>
      <c r="C162" s="110">
        <v>49218</v>
      </c>
      <c r="D162" s="65">
        <v>173.5676019530612</v>
      </c>
      <c r="E162" s="66">
        <v>163.12744544460639</v>
      </c>
      <c r="F162" s="67">
        <v>239.49619411010826</v>
      </c>
      <c r="G162" s="66">
        <v>167.47985602105473</v>
      </c>
    </row>
    <row r="163" spans="1:7" x14ac:dyDescent="0.25">
      <c r="A163" s="98">
        <v>49096</v>
      </c>
      <c r="B163" s="106"/>
      <c r="C163" s="110">
        <v>49188</v>
      </c>
      <c r="D163" s="65">
        <v>172.90195439044166</v>
      </c>
      <c r="E163" s="66">
        <v>162.50183683312184</v>
      </c>
      <c r="F163" s="67">
        <v>238.90726904262442</v>
      </c>
      <c r="G163" s="66">
        <v>167.06802030952758</v>
      </c>
    </row>
    <row r="164" spans="1:7" x14ac:dyDescent="0.25">
      <c r="A164" s="98">
        <v>49065</v>
      </c>
      <c r="B164" s="106"/>
      <c r="C164" s="110">
        <v>49157</v>
      </c>
      <c r="D164" s="65">
        <v>173.73401384371616</v>
      </c>
      <c r="E164" s="66">
        <v>163.28384759747757</v>
      </c>
      <c r="F164" s="67">
        <v>238.31834397514058</v>
      </c>
      <c r="G164" s="66">
        <v>166.65618459800041</v>
      </c>
    </row>
    <row r="165" spans="1:7" x14ac:dyDescent="0.25">
      <c r="A165" s="98">
        <v>49035</v>
      </c>
      <c r="B165" s="106"/>
      <c r="C165" s="110">
        <v>49126</v>
      </c>
      <c r="D165" s="65">
        <v>174.56607329699068</v>
      </c>
      <c r="E165" s="66">
        <v>164.06585836183334</v>
      </c>
      <c r="F165" s="67">
        <v>239.80412878591679</v>
      </c>
      <c r="G165" s="66">
        <v>167.69519495518657</v>
      </c>
    </row>
    <row r="166" spans="1:7" x14ac:dyDescent="0.25">
      <c r="A166" s="98">
        <v>49004</v>
      </c>
      <c r="B166" s="106"/>
      <c r="C166" s="110">
        <v>49096</v>
      </c>
      <c r="D166" s="65">
        <v>174.73248518764555</v>
      </c>
      <c r="E166" s="66">
        <v>164.22226051470446</v>
      </c>
      <c r="F166" s="67">
        <v>239.22675126877573</v>
      </c>
      <c r="G166" s="66">
        <v>167.29143445368933</v>
      </c>
    </row>
    <row r="167" spans="1:7" x14ac:dyDescent="0.25">
      <c r="A167" s="98">
        <v>48976</v>
      </c>
      <c r="B167" s="106"/>
      <c r="C167" s="110">
        <v>49065</v>
      </c>
      <c r="D167" s="65">
        <v>174.89889707830051</v>
      </c>
      <c r="E167" s="66">
        <v>164.37866266757567</v>
      </c>
      <c r="F167" s="67">
        <v>238.64937375163473</v>
      </c>
      <c r="G167" s="66">
        <v>166.88767395219213</v>
      </c>
    </row>
    <row r="168" spans="1:7" x14ac:dyDescent="0.25">
      <c r="A168" s="98">
        <v>48945</v>
      </c>
      <c r="B168" s="106"/>
      <c r="C168" s="110">
        <v>49035</v>
      </c>
      <c r="D168" s="65">
        <v>174.39966140633581</v>
      </c>
      <c r="E168" s="66">
        <v>163.90945620896221</v>
      </c>
      <c r="F168" s="67">
        <v>238.07199623449361</v>
      </c>
      <c r="G168" s="66">
        <v>166.48391345069484</v>
      </c>
    </row>
    <row r="169" spans="1:7" x14ac:dyDescent="0.25">
      <c r="A169" s="98">
        <v>48914</v>
      </c>
      <c r="B169" s="106"/>
      <c r="C169" s="110">
        <v>49004</v>
      </c>
      <c r="D169" s="65">
        <v>174.06683762502598</v>
      </c>
      <c r="E169" s="66">
        <v>163.59665190321991</v>
      </c>
      <c r="F169" s="67">
        <v>237.30215954497228</v>
      </c>
      <c r="G169" s="66">
        <v>165.94556611536524</v>
      </c>
    </row>
    <row r="170" spans="1:7" x14ac:dyDescent="0.25">
      <c r="A170" s="98">
        <v>48884</v>
      </c>
      <c r="B170" s="106"/>
      <c r="C170" s="110">
        <v>48976</v>
      </c>
      <c r="D170" s="65">
        <v>175.89736842222985</v>
      </c>
      <c r="E170" s="66">
        <v>165.31707558480247</v>
      </c>
      <c r="F170" s="67">
        <v>236.72478202783125</v>
      </c>
      <c r="G170" s="66">
        <v>165.54180561386801</v>
      </c>
    </row>
    <row r="171" spans="1:7" x14ac:dyDescent="0.25">
      <c r="A171" s="99">
        <v>48853</v>
      </c>
      <c r="B171" s="107"/>
      <c r="C171" s="111">
        <v>48945</v>
      </c>
      <c r="D171" s="68">
        <v>170.49061346506963</v>
      </c>
      <c r="E171" s="69">
        <v>160.23553897093009</v>
      </c>
      <c r="F171" s="70">
        <v>236.14740451069017</v>
      </c>
      <c r="G171" s="69">
        <v>165.13804511237075</v>
      </c>
    </row>
    <row r="172" spans="1:7" x14ac:dyDescent="0.25">
      <c r="A172" s="97">
        <v>48823</v>
      </c>
      <c r="B172" s="105"/>
      <c r="C172" s="112">
        <v>48914</v>
      </c>
      <c r="D172" s="62">
        <v>170.32746455266289</v>
      </c>
      <c r="E172" s="63">
        <v>160.0822035269388</v>
      </c>
      <c r="F172" s="64">
        <v>235.76248616592949</v>
      </c>
      <c r="G172" s="63">
        <v>164.86887144470595</v>
      </c>
    </row>
    <row r="173" spans="1:7" x14ac:dyDescent="0.25">
      <c r="A173" s="98">
        <v>48792</v>
      </c>
      <c r="B173" s="106"/>
      <c r="C173" s="110">
        <v>48884</v>
      </c>
      <c r="D173" s="65">
        <v>170.49061346506963</v>
      </c>
      <c r="E173" s="66">
        <v>160.23553897093009</v>
      </c>
      <c r="F173" s="67">
        <v>235.1851086487884</v>
      </c>
      <c r="G173" s="66">
        <v>164.46511094320869</v>
      </c>
    </row>
    <row r="174" spans="1:7" x14ac:dyDescent="0.25">
      <c r="A174" s="98">
        <v>48761</v>
      </c>
      <c r="B174" s="106"/>
      <c r="C174" s="110">
        <v>48853</v>
      </c>
      <c r="D174" s="65">
        <v>170.16431564025609</v>
      </c>
      <c r="E174" s="66">
        <v>159.92886808294745</v>
      </c>
      <c r="F174" s="67">
        <v>234.80019030402769</v>
      </c>
      <c r="G174" s="66">
        <v>164.19593727554386</v>
      </c>
    </row>
    <row r="175" spans="1:7" x14ac:dyDescent="0.25">
      <c r="A175" s="98">
        <v>48731</v>
      </c>
      <c r="B175" s="106"/>
      <c r="C175" s="110">
        <v>48823</v>
      </c>
      <c r="D175" s="65">
        <v>169.51171999062908</v>
      </c>
      <c r="E175" s="66">
        <v>159.31552630698221</v>
      </c>
      <c r="F175" s="67">
        <v>234.22281278688669</v>
      </c>
      <c r="G175" s="66">
        <v>163.79217677404665</v>
      </c>
    </row>
    <row r="176" spans="1:7" x14ac:dyDescent="0.25">
      <c r="A176" s="98">
        <v>48700</v>
      </c>
      <c r="B176" s="106"/>
      <c r="C176" s="110">
        <v>48792</v>
      </c>
      <c r="D176" s="65">
        <v>170.32746455266289</v>
      </c>
      <c r="E176" s="66">
        <v>160.0822035269388</v>
      </c>
      <c r="F176" s="67">
        <v>233.64543526974566</v>
      </c>
      <c r="G176" s="66">
        <v>163.38841627254942</v>
      </c>
    </row>
    <row r="177" spans="1:7" x14ac:dyDescent="0.25">
      <c r="A177" s="98">
        <v>48670</v>
      </c>
      <c r="B177" s="106"/>
      <c r="C177" s="110">
        <v>48761</v>
      </c>
      <c r="D177" s="65">
        <v>171.14320911469673</v>
      </c>
      <c r="E177" s="66">
        <v>160.84888074689542</v>
      </c>
      <c r="F177" s="67">
        <v>235.10208704501642</v>
      </c>
      <c r="G177" s="66">
        <v>164.40705387763387</v>
      </c>
    </row>
    <row r="178" spans="1:7" x14ac:dyDescent="0.25">
      <c r="A178" s="98">
        <v>48639</v>
      </c>
      <c r="B178" s="106"/>
      <c r="C178" s="110">
        <v>48731</v>
      </c>
      <c r="D178" s="65">
        <v>171.30635802710347</v>
      </c>
      <c r="E178" s="66">
        <v>161.00221619088671</v>
      </c>
      <c r="F178" s="67">
        <v>234.53603065566247</v>
      </c>
      <c r="G178" s="66">
        <v>164.01121024871503</v>
      </c>
    </row>
    <row r="179" spans="1:7" x14ac:dyDescent="0.25">
      <c r="A179" s="98">
        <v>48611</v>
      </c>
      <c r="B179" s="106"/>
      <c r="C179" s="110">
        <v>48700</v>
      </c>
      <c r="D179" s="65">
        <v>171.4695069395103</v>
      </c>
      <c r="E179" s="66">
        <v>161.15555163487809</v>
      </c>
      <c r="F179" s="67">
        <v>233.96997426630855</v>
      </c>
      <c r="G179" s="66">
        <v>163.61536661979619</v>
      </c>
    </row>
    <row r="180" spans="1:7" x14ac:dyDescent="0.25">
      <c r="A180" s="98">
        <v>48580</v>
      </c>
      <c r="B180" s="106"/>
      <c r="C180" s="110">
        <v>48670</v>
      </c>
      <c r="D180" s="65">
        <v>170.98006020228999</v>
      </c>
      <c r="E180" s="66">
        <v>160.69554530290412</v>
      </c>
      <c r="F180" s="67">
        <v>233.40391787695452</v>
      </c>
      <c r="G180" s="66">
        <v>163.21952299087729</v>
      </c>
    </row>
    <row r="181" spans="1:7" x14ac:dyDescent="0.25">
      <c r="A181" s="98">
        <v>48549</v>
      </c>
      <c r="B181" s="106"/>
      <c r="C181" s="110">
        <v>48639</v>
      </c>
      <c r="D181" s="65">
        <v>170.65376237747645</v>
      </c>
      <c r="E181" s="66">
        <v>160.38887441492147</v>
      </c>
      <c r="F181" s="67">
        <v>232.64917602448261</v>
      </c>
      <c r="G181" s="66">
        <v>162.69173148565218</v>
      </c>
    </row>
    <row r="182" spans="1:7" x14ac:dyDescent="0.25">
      <c r="A182" s="98">
        <v>48519</v>
      </c>
      <c r="B182" s="106"/>
      <c r="C182" s="110">
        <v>48611</v>
      </c>
      <c r="D182" s="65">
        <v>172.44840041395082</v>
      </c>
      <c r="E182" s="66">
        <v>162.07556429882595</v>
      </c>
      <c r="F182" s="67">
        <v>232.08311963512867</v>
      </c>
      <c r="G182" s="66">
        <v>162.29588785673334</v>
      </c>
    </row>
    <row r="183" spans="1:7" x14ac:dyDescent="0.25">
      <c r="A183" s="99">
        <v>48488</v>
      </c>
      <c r="B183" s="107"/>
      <c r="C183" s="111">
        <v>48580</v>
      </c>
      <c r="D183" s="68">
        <v>167.1476602598722</v>
      </c>
      <c r="E183" s="69">
        <v>157.09366565777461</v>
      </c>
      <c r="F183" s="70">
        <v>231.51706324577464</v>
      </c>
      <c r="G183" s="69">
        <v>161.90004422781445</v>
      </c>
    </row>
    <row r="184" spans="1:7" x14ac:dyDescent="0.25">
      <c r="A184" s="97">
        <v>48458</v>
      </c>
      <c r="B184" s="105"/>
      <c r="C184" s="112">
        <v>48549</v>
      </c>
      <c r="D184" s="62">
        <v>166.98771034574796</v>
      </c>
      <c r="E184" s="63">
        <v>156.94333679111648</v>
      </c>
      <c r="F184" s="64">
        <v>231.13969231953871</v>
      </c>
      <c r="G184" s="63">
        <v>161.63614847520191</v>
      </c>
    </row>
    <row r="185" spans="1:7" x14ac:dyDescent="0.25">
      <c r="A185" s="98">
        <v>48427</v>
      </c>
      <c r="B185" s="106"/>
      <c r="C185" s="110">
        <v>48519</v>
      </c>
      <c r="D185" s="65">
        <v>167.1476602598722</v>
      </c>
      <c r="E185" s="66">
        <v>157.09366565777461</v>
      </c>
      <c r="F185" s="67">
        <v>230.57363593018471</v>
      </c>
      <c r="G185" s="66">
        <v>161.24030484628301</v>
      </c>
    </row>
    <row r="186" spans="1:7" x14ac:dyDescent="0.25">
      <c r="A186" s="98">
        <v>48396</v>
      </c>
      <c r="B186" s="106"/>
      <c r="C186" s="110">
        <v>48488</v>
      </c>
      <c r="D186" s="65">
        <v>166.8277604316236</v>
      </c>
      <c r="E186" s="66">
        <v>156.79300792445827</v>
      </c>
      <c r="F186" s="67">
        <v>230.19626500394872</v>
      </c>
      <c r="G186" s="66">
        <v>160.97640909367044</v>
      </c>
    </row>
    <row r="187" spans="1:7" x14ac:dyDescent="0.25">
      <c r="A187" s="98">
        <v>48366</v>
      </c>
      <c r="B187" s="106"/>
      <c r="C187" s="110">
        <v>48458</v>
      </c>
      <c r="D187" s="65">
        <v>166.18796077512656</v>
      </c>
      <c r="E187" s="66">
        <v>156.1916924578257</v>
      </c>
      <c r="F187" s="67">
        <v>229.63020861459481</v>
      </c>
      <c r="G187" s="66">
        <v>160.58056546475163</v>
      </c>
    </row>
    <row r="188" spans="1:7" x14ac:dyDescent="0.25">
      <c r="A188" s="98">
        <v>48335</v>
      </c>
      <c r="B188" s="106"/>
      <c r="C188" s="110">
        <v>48427</v>
      </c>
      <c r="D188" s="65">
        <v>166.98771034574796</v>
      </c>
      <c r="E188" s="66">
        <v>156.94333679111648</v>
      </c>
      <c r="F188" s="67">
        <v>229.06415222524083</v>
      </c>
      <c r="G188" s="66">
        <v>160.18472183583276</v>
      </c>
    </row>
    <row r="189" spans="1:7" x14ac:dyDescent="0.25">
      <c r="A189" s="98">
        <v>48305</v>
      </c>
      <c r="B189" s="106"/>
      <c r="C189" s="110">
        <v>48396</v>
      </c>
      <c r="D189" s="65">
        <v>167.78745991636933</v>
      </c>
      <c r="E189" s="66">
        <v>157.69498112440726</v>
      </c>
      <c r="F189" s="67">
        <v>230.49224220099649</v>
      </c>
      <c r="G189" s="66">
        <v>161.183386154543</v>
      </c>
    </row>
    <row r="190" spans="1:7" x14ac:dyDescent="0.25">
      <c r="A190" s="98">
        <v>48274</v>
      </c>
      <c r="B190" s="106"/>
      <c r="C190" s="110">
        <v>48366</v>
      </c>
      <c r="D190" s="65">
        <v>167.9474098304936</v>
      </c>
      <c r="E190" s="66">
        <v>157.84530999106539</v>
      </c>
      <c r="F190" s="67">
        <v>229.93728495653184</v>
      </c>
      <c r="G190" s="66">
        <v>160.79530416540689</v>
      </c>
    </row>
    <row r="191" spans="1:7" x14ac:dyDescent="0.25">
      <c r="A191" s="98">
        <v>48245</v>
      </c>
      <c r="B191" s="106"/>
      <c r="C191" s="110">
        <v>48335</v>
      </c>
      <c r="D191" s="65">
        <v>168.10735974461792</v>
      </c>
      <c r="E191" s="66">
        <v>157.99563885772361</v>
      </c>
      <c r="F191" s="67">
        <v>229.38232771206719</v>
      </c>
      <c r="G191" s="66">
        <v>160.40722217627078</v>
      </c>
    </row>
    <row r="192" spans="1:7" x14ac:dyDescent="0.25">
      <c r="A192" s="98">
        <v>48214</v>
      </c>
      <c r="B192" s="106"/>
      <c r="C192" s="110">
        <v>48305</v>
      </c>
      <c r="D192" s="65">
        <v>167.62751000224509</v>
      </c>
      <c r="E192" s="66">
        <v>157.54465225774914</v>
      </c>
      <c r="F192" s="67">
        <v>228.82737046760249</v>
      </c>
      <c r="G192" s="66">
        <v>160.01914018713461</v>
      </c>
    </row>
    <row r="193" spans="1:7" x14ac:dyDescent="0.25">
      <c r="A193" s="98">
        <v>48183</v>
      </c>
      <c r="B193" s="106"/>
      <c r="C193" s="110">
        <v>48274</v>
      </c>
      <c r="D193" s="65">
        <v>167.30761017399652</v>
      </c>
      <c r="E193" s="66">
        <v>157.24399452443282</v>
      </c>
      <c r="F193" s="67">
        <v>228.08742747498295</v>
      </c>
      <c r="G193" s="66">
        <v>159.50169753495311</v>
      </c>
    </row>
    <row r="194" spans="1:7" x14ac:dyDescent="0.25">
      <c r="A194" s="98">
        <v>48153</v>
      </c>
      <c r="B194" s="106"/>
      <c r="C194" s="110">
        <v>48245</v>
      </c>
      <c r="D194" s="65">
        <v>169.06705922936354</v>
      </c>
      <c r="E194" s="66">
        <v>158.89761205767249</v>
      </c>
      <c r="F194" s="67">
        <v>227.5324702305183</v>
      </c>
      <c r="G194" s="66">
        <v>159.113615545817</v>
      </c>
    </row>
    <row r="195" spans="1:7" x14ac:dyDescent="0.25">
      <c r="A195" s="99">
        <v>48122</v>
      </c>
      <c r="B195" s="107"/>
      <c r="C195" s="111">
        <v>48214</v>
      </c>
      <c r="D195" s="68">
        <v>163.87025515673744</v>
      </c>
      <c r="E195" s="69">
        <v>154.0133977037006</v>
      </c>
      <c r="F195" s="70">
        <v>226.97751298605357</v>
      </c>
      <c r="G195" s="69">
        <v>158.72553355668083</v>
      </c>
    </row>
    <row r="196" spans="1:7" x14ac:dyDescent="0.25">
      <c r="A196" s="97">
        <v>48092</v>
      </c>
      <c r="B196" s="105"/>
      <c r="C196" s="112">
        <v>48183</v>
      </c>
      <c r="D196" s="62">
        <v>163.71344151543917</v>
      </c>
      <c r="E196" s="63">
        <v>153.8660164618789</v>
      </c>
      <c r="F196" s="64">
        <v>226.60754148974385</v>
      </c>
      <c r="G196" s="63">
        <v>158.46681223059011</v>
      </c>
    </row>
    <row r="197" spans="1:7" x14ac:dyDescent="0.25">
      <c r="A197" s="98">
        <v>48061</v>
      </c>
      <c r="B197" s="106"/>
      <c r="C197" s="110">
        <v>48153</v>
      </c>
      <c r="D197" s="65">
        <v>163.87025515673744</v>
      </c>
      <c r="E197" s="66">
        <v>154.0133977037006</v>
      </c>
      <c r="F197" s="67">
        <v>226.05258424527912</v>
      </c>
      <c r="G197" s="66">
        <v>158.07873024145394</v>
      </c>
    </row>
    <row r="198" spans="1:7" x14ac:dyDescent="0.25">
      <c r="A198" s="98">
        <v>48030</v>
      </c>
      <c r="B198" s="106"/>
      <c r="C198" s="110">
        <v>48122</v>
      </c>
      <c r="D198" s="65">
        <v>163.55662787414079</v>
      </c>
      <c r="E198" s="66">
        <v>153.71863522005711</v>
      </c>
      <c r="F198" s="67">
        <v>225.68261274896932</v>
      </c>
      <c r="G198" s="66">
        <v>157.82000891536316</v>
      </c>
    </row>
    <row r="199" spans="1:7" x14ac:dyDescent="0.25">
      <c r="A199" s="98">
        <v>48000</v>
      </c>
      <c r="B199" s="106"/>
      <c r="C199" s="110">
        <v>48092</v>
      </c>
      <c r="D199" s="65">
        <v>162.92937330894759</v>
      </c>
      <c r="E199" s="66">
        <v>153.12911025277029</v>
      </c>
      <c r="F199" s="67">
        <v>225.1276555045047</v>
      </c>
      <c r="G199" s="66">
        <v>157.43192692622708</v>
      </c>
    </row>
    <row r="200" spans="1:7" x14ac:dyDescent="0.25">
      <c r="A200" s="98">
        <v>47969</v>
      </c>
      <c r="B200" s="106"/>
      <c r="C200" s="110">
        <v>48061</v>
      </c>
      <c r="D200" s="65">
        <v>163.71344151543917</v>
      </c>
      <c r="E200" s="66">
        <v>153.8660164618789</v>
      </c>
      <c r="F200" s="67">
        <v>224.57269826004003</v>
      </c>
      <c r="G200" s="66">
        <v>157.04384493709094</v>
      </c>
    </row>
    <row r="201" spans="1:7" x14ac:dyDescent="0.25">
      <c r="A201" s="98">
        <v>47939</v>
      </c>
      <c r="B201" s="106"/>
      <c r="C201" s="110">
        <v>48030</v>
      </c>
      <c r="D201" s="65">
        <v>164.49750972193073</v>
      </c>
      <c r="E201" s="66">
        <v>154.60292267098751</v>
      </c>
      <c r="F201" s="67">
        <v>225.97278647156517</v>
      </c>
      <c r="G201" s="66">
        <v>158.02292760249313</v>
      </c>
    </row>
    <row r="202" spans="1:7" x14ac:dyDescent="0.25">
      <c r="A202" s="98">
        <v>47908</v>
      </c>
      <c r="B202" s="106"/>
      <c r="C202" s="110">
        <v>48000</v>
      </c>
      <c r="D202" s="65">
        <v>164.65432336322903</v>
      </c>
      <c r="E202" s="66">
        <v>154.75030391280922</v>
      </c>
      <c r="F202" s="67">
        <v>225.42871074169787</v>
      </c>
      <c r="G202" s="66">
        <v>157.64245506412439</v>
      </c>
    </row>
    <row r="203" spans="1:7" x14ac:dyDescent="0.25">
      <c r="A203" s="98">
        <v>47880</v>
      </c>
      <c r="B203" s="106"/>
      <c r="C203" s="110">
        <v>47969</v>
      </c>
      <c r="D203" s="65">
        <v>164.81113700452738</v>
      </c>
      <c r="E203" s="66">
        <v>154.89768515463098</v>
      </c>
      <c r="F203" s="67">
        <v>224.88463501183057</v>
      </c>
      <c r="G203" s="66">
        <v>157.26198252575566</v>
      </c>
    </row>
    <row r="204" spans="1:7" x14ac:dyDescent="0.25">
      <c r="A204" s="98">
        <v>47849</v>
      </c>
      <c r="B204" s="106"/>
      <c r="C204" s="110">
        <v>47939</v>
      </c>
      <c r="D204" s="65">
        <v>164.34069608063243</v>
      </c>
      <c r="E204" s="66">
        <v>154.45554142916581</v>
      </c>
      <c r="F204" s="67">
        <v>224.34055928196321</v>
      </c>
      <c r="G204" s="66">
        <v>156.88150998738686</v>
      </c>
    </row>
    <row r="205" spans="1:7" x14ac:dyDescent="0.25">
      <c r="A205" s="98">
        <v>47818</v>
      </c>
      <c r="B205" s="106"/>
      <c r="C205" s="110">
        <v>47908</v>
      </c>
      <c r="D205" s="65">
        <v>164.0270687980358</v>
      </c>
      <c r="E205" s="66">
        <v>154.16077894552237</v>
      </c>
      <c r="F205" s="67">
        <v>223.61512497547346</v>
      </c>
      <c r="G205" s="66">
        <v>156.37421326956186</v>
      </c>
    </row>
    <row r="206" spans="1:7" x14ac:dyDescent="0.25">
      <c r="A206" s="98">
        <v>47788</v>
      </c>
      <c r="B206" s="106"/>
      <c r="C206" s="110">
        <v>47880</v>
      </c>
      <c r="D206" s="65">
        <v>165.75201885231721</v>
      </c>
      <c r="E206" s="66">
        <v>155.78197260556126</v>
      </c>
      <c r="F206" s="67">
        <v>223.07104924560616</v>
      </c>
      <c r="G206" s="66">
        <v>155.99374073119313</v>
      </c>
    </row>
    <row r="207" spans="1:7" x14ac:dyDescent="0.25">
      <c r="A207" s="99">
        <v>47757</v>
      </c>
      <c r="B207" s="107"/>
      <c r="C207" s="111">
        <v>47849</v>
      </c>
      <c r="D207" s="68">
        <v>160.65711289876222</v>
      </c>
      <c r="E207" s="69">
        <v>150.9935271604908</v>
      </c>
      <c r="F207" s="70">
        <v>222.5269735157388</v>
      </c>
      <c r="G207" s="69">
        <v>155.61326819282434</v>
      </c>
    </row>
    <row r="208" spans="1:7" x14ac:dyDescent="0.25">
      <c r="A208" s="97">
        <v>47727</v>
      </c>
      <c r="B208" s="105"/>
      <c r="C208" s="112">
        <v>47818</v>
      </c>
      <c r="D208" s="62">
        <v>160.50337403474427</v>
      </c>
      <c r="E208" s="63">
        <v>150.8490357469401</v>
      </c>
      <c r="F208" s="64">
        <v>222.16425636249394</v>
      </c>
      <c r="G208" s="63">
        <v>155.35961983391186</v>
      </c>
    </row>
    <row r="209" spans="1:7" x14ac:dyDescent="0.25">
      <c r="A209" s="98">
        <v>47696</v>
      </c>
      <c r="B209" s="106"/>
      <c r="C209" s="110">
        <v>47788</v>
      </c>
      <c r="D209" s="65">
        <v>160.65711289876222</v>
      </c>
      <c r="E209" s="66">
        <v>150.9935271604908</v>
      </c>
      <c r="F209" s="67">
        <v>221.62018063262659</v>
      </c>
      <c r="G209" s="66">
        <v>154.97914729554307</v>
      </c>
    </row>
    <row r="210" spans="1:7" x14ac:dyDescent="0.25">
      <c r="A210" s="98">
        <v>47665</v>
      </c>
      <c r="B210" s="106"/>
      <c r="C210" s="110">
        <v>47757</v>
      </c>
      <c r="D210" s="65">
        <v>160.34963517072626</v>
      </c>
      <c r="E210" s="66">
        <v>150.70454433338932</v>
      </c>
      <c r="F210" s="67">
        <v>221.25746347938167</v>
      </c>
      <c r="G210" s="66">
        <v>154.72549893663054</v>
      </c>
    </row>
    <row r="211" spans="1:7" x14ac:dyDescent="0.25">
      <c r="A211" s="98">
        <v>47635</v>
      </c>
      <c r="B211" s="106"/>
      <c r="C211" s="110">
        <v>47727</v>
      </c>
      <c r="D211" s="65">
        <v>159.7346797146545</v>
      </c>
      <c r="E211" s="66">
        <v>150.12657867918657</v>
      </c>
      <c r="F211" s="67">
        <v>220.71338774951442</v>
      </c>
      <c r="G211" s="66">
        <v>154.34502639826184</v>
      </c>
    </row>
    <row r="212" spans="1:7" x14ac:dyDescent="0.25">
      <c r="A212" s="98">
        <v>47604</v>
      </c>
      <c r="B212" s="106"/>
      <c r="C212" s="110">
        <v>47696</v>
      </c>
      <c r="D212" s="65">
        <v>160.50337403474427</v>
      </c>
      <c r="E212" s="66">
        <v>150.8490357469401</v>
      </c>
      <c r="F212" s="67">
        <v>220.16931201964709</v>
      </c>
      <c r="G212" s="66">
        <v>153.96455385989307</v>
      </c>
    </row>
    <row r="213" spans="1:7" x14ac:dyDescent="0.25">
      <c r="A213" s="98">
        <v>47574</v>
      </c>
      <c r="B213" s="106"/>
      <c r="C213" s="110">
        <v>47665</v>
      </c>
      <c r="D213" s="65">
        <v>161.27206835483403</v>
      </c>
      <c r="E213" s="66">
        <v>151.57149281469364</v>
      </c>
      <c r="F213" s="67">
        <v>221.5419475211423</v>
      </c>
      <c r="G213" s="66">
        <v>154.92443882597365</v>
      </c>
    </row>
    <row r="214" spans="1:7" x14ac:dyDescent="0.25">
      <c r="A214" s="98">
        <v>47543</v>
      </c>
      <c r="B214" s="106"/>
      <c r="C214" s="110">
        <v>47635</v>
      </c>
      <c r="D214" s="65">
        <v>161.42580721885199</v>
      </c>
      <c r="E214" s="66">
        <v>151.71598422824434</v>
      </c>
      <c r="F214" s="67">
        <v>221.00853994284103</v>
      </c>
      <c r="G214" s="66">
        <v>154.55142653345527</v>
      </c>
    </row>
    <row r="215" spans="1:7" x14ac:dyDescent="0.25">
      <c r="A215" s="98">
        <v>47515</v>
      </c>
      <c r="B215" s="106"/>
      <c r="C215" s="110">
        <v>47604</v>
      </c>
      <c r="D215" s="65">
        <v>161.57954608286997</v>
      </c>
      <c r="E215" s="66">
        <v>151.86047564179506</v>
      </c>
      <c r="F215" s="67">
        <v>220.47513236453977</v>
      </c>
      <c r="G215" s="66">
        <v>154.17841424093692</v>
      </c>
    </row>
    <row r="216" spans="1:7" x14ac:dyDescent="0.25">
      <c r="A216" s="98">
        <v>47484</v>
      </c>
      <c r="B216" s="106"/>
      <c r="C216" s="110">
        <v>47574</v>
      </c>
      <c r="D216" s="65">
        <v>161.11832949081611</v>
      </c>
      <c r="E216" s="66">
        <v>151.42700140114295</v>
      </c>
      <c r="F216" s="67">
        <v>219.94172478623841</v>
      </c>
      <c r="G216" s="66">
        <v>153.80540194841848</v>
      </c>
    </row>
    <row r="217" spans="1:7" x14ac:dyDescent="0.25">
      <c r="A217" s="98">
        <v>47453</v>
      </c>
      <c r="B217" s="106"/>
      <c r="C217" s="110">
        <v>47543</v>
      </c>
      <c r="D217" s="65">
        <v>160.8108517627802</v>
      </c>
      <c r="E217" s="66">
        <v>151.13801857404152</v>
      </c>
      <c r="F217" s="67">
        <v>219.23051468183669</v>
      </c>
      <c r="G217" s="66">
        <v>153.30805222506064</v>
      </c>
    </row>
    <row r="218" spans="1:7" x14ac:dyDescent="0.25">
      <c r="A218" s="98">
        <v>47423</v>
      </c>
      <c r="B218" s="106"/>
      <c r="C218" s="110">
        <v>47515</v>
      </c>
      <c r="D218" s="65">
        <v>162.50197926697763</v>
      </c>
      <c r="E218" s="66">
        <v>152.72742412309927</v>
      </c>
      <c r="F218" s="67">
        <v>218.69710710353544</v>
      </c>
      <c r="G218" s="66">
        <v>152.93503993254228</v>
      </c>
    </row>
    <row r="219" spans="1:7" x14ac:dyDescent="0.25">
      <c r="A219" s="99">
        <v>47392</v>
      </c>
      <c r="B219" s="107"/>
      <c r="C219" s="111">
        <v>47484</v>
      </c>
      <c r="D219" s="68">
        <v>157.50697343015904</v>
      </c>
      <c r="E219" s="69">
        <v>148.03286976518706</v>
      </c>
      <c r="F219" s="70">
        <v>218.16369952523408</v>
      </c>
      <c r="G219" s="69">
        <v>152.56202764002384</v>
      </c>
    </row>
    <row r="220" spans="1:7" x14ac:dyDescent="0.25">
      <c r="A220" s="97">
        <v>47362</v>
      </c>
      <c r="B220" s="105"/>
      <c r="C220" s="112">
        <v>47453</v>
      </c>
      <c r="D220" s="62">
        <v>157.35624905367087</v>
      </c>
      <c r="E220" s="63">
        <v>147.89121151660794</v>
      </c>
      <c r="F220" s="64">
        <v>217.80809447303326</v>
      </c>
      <c r="G220" s="63">
        <v>152.31335277834495</v>
      </c>
    </row>
    <row r="221" spans="1:7" x14ac:dyDescent="0.25">
      <c r="A221" s="98">
        <v>47331</v>
      </c>
      <c r="B221" s="106"/>
      <c r="C221" s="110">
        <v>47423</v>
      </c>
      <c r="D221" s="65">
        <v>157.50697343015904</v>
      </c>
      <c r="E221" s="66">
        <v>148.03286976518706</v>
      </c>
      <c r="F221" s="67">
        <v>217.27468689473193</v>
      </c>
      <c r="G221" s="66">
        <v>151.94034048582654</v>
      </c>
    </row>
    <row r="222" spans="1:7" x14ac:dyDescent="0.25">
      <c r="A222" s="98">
        <v>47300</v>
      </c>
      <c r="B222" s="106"/>
      <c r="C222" s="110">
        <v>47392</v>
      </c>
      <c r="D222" s="65">
        <v>157.20552467718258</v>
      </c>
      <c r="E222" s="66">
        <v>147.74955326802873</v>
      </c>
      <c r="F222" s="67">
        <v>216.91908184253106</v>
      </c>
      <c r="G222" s="66">
        <v>151.69166562414759</v>
      </c>
    </row>
    <row r="223" spans="1:7" x14ac:dyDescent="0.25">
      <c r="A223" s="98">
        <v>47270</v>
      </c>
      <c r="B223" s="106"/>
      <c r="C223" s="110">
        <v>47362</v>
      </c>
      <c r="D223" s="65">
        <v>156.6026271712299</v>
      </c>
      <c r="E223" s="66">
        <v>147.18292027371231</v>
      </c>
      <c r="F223" s="67">
        <v>216.38567426422981</v>
      </c>
      <c r="G223" s="66">
        <v>151.31865333162924</v>
      </c>
    </row>
    <row r="224" spans="1:7" x14ac:dyDescent="0.25">
      <c r="A224" s="98">
        <v>47239</v>
      </c>
      <c r="B224" s="106"/>
      <c r="C224" s="110">
        <v>47331</v>
      </c>
      <c r="D224" s="65">
        <v>157.35624905367087</v>
      </c>
      <c r="E224" s="66">
        <v>147.89121151660794</v>
      </c>
      <c r="F224" s="67">
        <v>215.8522666859285</v>
      </c>
      <c r="G224" s="66">
        <v>150.94564103911085</v>
      </c>
    </row>
    <row r="225" spans="1:7" x14ac:dyDescent="0.25">
      <c r="A225" s="98">
        <v>47209</v>
      </c>
      <c r="B225" s="106"/>
      <c r="C225" s="110">
        <v>47300</v>
      </c>
      <c r="D225" s="65">
        <v>158.1098709361118</v>
      </c>
      <c r="E225" s="66">
        <v>148.59950275950357</v>
      </c>
      <c r="F225" s="67">
        <v>217.19798776582581</v>
      </c>
      <c r="G225" s="66">
        <v>151.88670473134673</v>
      </c>
    </row>
    <row r="226" spans="1:7" x14ac:dyDescent="0.25">
      <c r="A226" s="98">
        <v>47178</v>
      </c>
      <c r="B226" s="106"/>
      <c r="C226" s="110">
        <v>47270</v>
      </c>
      <c r="D226" s="65">
        <v>158.26059531259997</v>
      </c>
      <c r="E226" s="66">
        <v>148.74116100808268</v>
      </c>
      <c r="F226" s="67">
        <v>216.67503915964804</v>
      </c>
      <c r="G226" s="66">
        <v>151.52100640534829</v>
      </c>
    </row>
    <row r="227" spans="1:7" x14ac:dyDescent="0.25">
      <c r="A227" s="98">
        <v>47150</v>
      </c>
      <c r="B227" s="106"/>
      <c r="C227" s="110">
        <v>47239</v>
      </c>
      <c r="D227" s="65">
        <v>158.4113196890882</v>
      </c>
      <c r="E227" s="66">
        <v>148.88281925666183</v>
      </c>
      <c r="F227" s="67">
        <v>216.15209055347034</v>
      </c>
      <c r="G227" s="66">
        <v>151.15530807934991</v>
      </c>
    </row>
    <row r="228" spans="1:7" x14ac:dyDescent="0.25">
      <c r="A228" s="98">
        <v>47119</v>
      </c>
      <c r="B228" s="106"/>
      <c r="C228" s="110">
        <v>47209</v>
      </c>
      <c r="D228" s="65">
        <v>157.9591465596236</v>
      </c>
      <c r="E228" s="66">
        <v>148.45784451092445</v>
      </c>
      <c r="F228" s="67">
        <v>215.62914194729257</v>
      </c>
      <c r="G228" s="66">
        <v>150.78960975335144</v>
      </c>
    </row>
    <row r="229" spans="1:7" x14ac:dyDescent="0.25">
      <c r="A229" s="98">
        <v>47088</v>
      </c>
      <c r="B229" s="106"/>
      <c r="C229" s="110">
        <v>47178</v>
      </c>
      <c r="D229" s="65">
        <v>157.65769780664726</v>
      </c>
      <c r="E229" s="66">
        <v>148.17452801376621</v>
      </c>
      <c r="F229" s="67">
        <v>214.93187713905559</v>
      </c>
      <c r="G229" s="66">
        <v>150.30201198535357</v>
      </c>
    </row>
    <row r="230" spans="1:7" x14ac:dyDescent="0.25">
      <c r="A230" s="98">
        <v>47058</v>
      </c>
      <c r="B230" s="106"/>
      <c r="C230" s="110">
        <v>47150</v>
      </c>
      <c r="D230" s="65">
        <v>159.31566594801726</v>
      </c>
      <c r="E230" s="66">
        <v>149.73276874813652</v>
      </c>
      <c r="F230" s="67">
        <v>214.40892853287787</v>
      </c>
      <c r="G230" s="66">
        <v>149.93631365935516</v>
      </c>
    </row>
    <row r="231" spans="1:7" x14ac:dyDescent="0.25">
      <c r="A231" s="99">
        <v>47027</v>
      </c>
      <c r="B231" s="107"/>
      <c r="C231" s="111">
        <v>47119</v>
      </c>
      <c r="D231" s="68">
        <v>154.41860140211671</v>
      </c>
      <c r="E231" s="69">
        <v>145.13026447567358</v>
      </c>
      <c r="F231" s="70">
        <v>213.88597992670006</v>
      </c>
      <c r="G231" s="69">
        <v>149.5706153333567</v>
      </c>
    </row>
    <row r="232" spans="1:7" x14ac:dyDescent="0.25">
      <c r="A232" s="97">
        <v>46997</v>
      </c>
      <c r="B232" s="105"/>
      <c r="C232" s="112">
        <v>47088</v>
      </c>
      <c r="D232" s="62">
        <v>154.27083240555967</v>
      </c>
      <c r="E232" s="63">
        <v>144.9913838398117</v>
      </c>
      <c r="F232" s="64">
        <v>213.53734752258163</v>
      </c>
      <c r="G232" s="63">
        <v>149.32681644935778</v>
      </c>
    </row>
    <row r="233" spans="1:7" x14ac:dyDescent="0.25">
      <c r="A233" s="98">
        <v>46966</v>
      </c>
      <c r="B233" s="106"/>
      <c r="C233" s="110">
        <v>47058</v>
      </c>
      <c r="D233" s="65">
        <v>154.41860140211671</v>
      </c>
      <c r="E233" s="66">
        <v>145.13026447567358</v>
      </c>
      <c r="F233" s="67">
        <v>213.01439891640385</v>
      </c>
      <c r="G233" s="66">
        <v>148.96111812335934</v>
      </c>
    </row>
    <row r="234" spans="1:7" x14ac:dyDescent="0.25">
      <c r="A234" s="98">
        <v>46935</v>
      </c>
      <c r="B234" s="106"/>
      <c r="C234" s="110">
        <v>47027</v>
      </c>
      <c r="D234" s="65">
        <v>154.12306340900253</v>
      </c>
      <c r="E234" s="66">
        <v>144.85250320394974</v>
      </c>
      <c r="F234" s="67">
        <v>212.66576651228536</v>
      </c>
      <c r="G234" s="66">
        <v>148.71731923936039</v>
      </c>
    </row>
    <row r="235" spans="1:7" x14ac:dyDescent="0.25">
      <c r="A235" s="98">
        <v>46905</v>
      </c>
      <c r="B235" s="106"/>
      <c r="C235" s="110">
        <v>46997</v>
      </c>
      <c r="D235" s="65">
        <v>153.53198742277442</v>
      </c>
      <c r="E235" s="66">
        <v>144.29698066050227</v>
      </c>
      <c r="F235" s="67">
        <v>212.14281790610764</v>
      </c>
      <c r="G235" s="66">
        <v>148.35162091336198</v>
      </c>
    </row>
    <row r="236" spans="1:7" x14ac:dyDescent="0.25">
      <c r="A236" s="98">
        <v>46874</v>
      </c>
      <c r="B236" s="106"/>
      <c r="C236" s="110">
        <v>46966</v>
      </c>
      <c r="D236" s="65">
        <v>154.27083240555967</v>
      </c>
      <c r="E236" s="66">
        <v>144.9913838398117</v>
      </c>
      <c r="F236" s="67">
        <v>211.61986929992992</v>
      </c>
      <c r="G236" s="66">
        <v>147.98592258736358</v>
      </c>
    </row>
    <row r="237" spans="1:7" x14ac:dyDescent="0.25">
      <c r="A237" s="98">
        <v>46844</v>
      </c>
      <c r="B237" s="106"/>
      <c r="C237" s="110">
        <v>46935</v>
      </c>
      <c r="D237" s="65">
        <v>155.0096773883449</v>
      </c>
      <c r="E237" s="66">
        <v>145.68578701912114</v>
      </c>
      <c r="F237" s="67">
        <v>212.93920369198611</v>
      </c>
      <c r="G237" s="66">
        <v>148.90853405033994</v>
      </c>
    </row>
    <row r="238" spans="1:7" x14ac:dyDescent="0.25">
      <c r="A238" s="98">
        <v>46813</v>
      </c>
      <c r="B238" s="106"/>
      <c r="C238" s="110">
        <v>46905</v>
      </c>
      <c r="D238" s="65">
        <v>155.15744638490193</v>
      </c>
      <c r="E238" s="66">
        <v>145.82466765498302</v>
      </c>
      <c r="F238" s="67">
        <v>212.42650898004712</v>
      </c>
      <c r="G238" s="66">
        <v>148.55000627975323</v>
      </c>
    </row>
    <row r="239" spans="1:7" x14ac:dyDescent="0.25">
      <c r="A239" s="98">
        <v>46784</v>
      </c>
      <c r="B239" s="106"/>
      <c r="C239" s="110">
        <v>46874</v>
      </c>
      <c r="D239" s="65">
        <v>155.30521538145902</v>
      </c>
      <c r="E239" s="66">
        <v>145.96354829084493</v>
      </c>
      <c r="F239" s="67">
        <v>211.91381426810821</v>
      </c>
      <c r="G239" s="66">
        <v>148.19147850916659</v>
      </c>
    </row>
    <row r="240" spans="1:7" x14ac:dyDescent="0.25">
      <c r="A240" s="98">
        <v>46753</v>
      </c>
      <c r="B240" s="106"/>
      <c r="C240" s="110">
        <v>46844</v>
      </c>
      <c r="D240" s="65">
        <v>154.86190839178786</v>
      </c>
      <c r="E240" s="66">
        <v>145.54690638325926</v>
      </c>
      <c r="F240" s="67">
        <v>211.40111955616919</v>
      </c>
      <c r="G240" s="66">
        <v>147.83295073857985</v>
      </c>
    </row>
    <row r="241" spans="1:7" x14ac:dyDescent="0.25">
      <c r="A241" s="98">
        <v>46722</v>
      </c>
      <c r="B241" s="106"/>
      <c r="C241" s="110">
        <v>46813</v>
      </c>
      <c r="D241" s="65">
        <v>154.56637039867377</v>
      </c>
      <c r="E241" s="66">
        <v>145.26914511153549</v>
      </c>
      <c r="F241" s="67">
        <v>210.71752660691726</v>
      </c>
      <c r="G241" s="66">
        <v>147.35491371113096</v>
      </c>
    </row>
    <row r="242" spans="1:7" x14ac:dyDescent="0.25">
      <c r="A242" s="98">
        <v>46692</v>
      </c>
      <c r="B242" s="106"/>
      <c r="C242" s="110">
        <v>46784</v>
      </c>
      <c r="D242" s="65">
        <v>156.19182936080122</v>
      </c>
      <c r="E242" s="66">
        <v>146.79683210601618</v>
      </c>
      <c r="F242" s="67">
        <v>210.20483189497833</v>
      </c>
      <c r="G242" s="66">
        <v>146.99638594054429</v>
      </c>
    </row>
    <row r="243" spans="1:7" x14ac:dyDescent="0.25">
      <c r="A243" s="99">
        <v>46661</v>
      </c>
      <c r="B243" s="107"/>
      <c r="C243" s="111">
        <v>46753</v>
      </c>
      <c r="D243" s="68">
        <v>151.39078568834969</v>
      </c>
      <c r="E243" s="69">
        <v>142.28457301536625</v>
      </c>
      <c r="F243" s="70">
        <v>209.69213718303928</v>
      </c>
      <c r="G243" s="69">
        <v>146.63785816995755</v>
      </c>
    </row>
    <row r="244" spans="1:7" x14ac:dyDescent="0.25">
      <c r="A244" s="97">
        <v>46631</v>
      </c>
      <c r="B244" s="105"/>
      <c r="C244" s="112">
        <v>46722</v>
      </c>
      <c r="D244" s="62">
        <v>151.24591412309769</v>
      </c>
      <c r="E244" s="63">
        <v>142.14841552922715</v>
      </c>
      <c r="F244" s="64">
        <v>209.35034070841334</v>
      </c>
      <c r="G244" s="63">
        <v>146.39883965623312</v>
      </c>
    </row>
    <row r="245" spans="1:7" x14ac:dyDescent="0.25">
      <c r="A245" s="98">
        <v>46600</v>
      </c>
      <c r="B245" s="106"/>
      <c r="C245" s="110">
        <v>46692</v>
      </c>
      <c r="D245" s="65">
        <v>151.39078568834969</v>
      </c>
      <c r="E245" s="66">
        <v>142.28457301536625</v>
      </c>
      <c r="F245" s="67">
        <v>208.83764599647438</v>
      </c>
      <c r="G245" s="66">
        <v>146.04031188564642</v>
      </c>
    </row>
    <row r="246" spans="1:7" x14ac:dyDescent="0.25">
      <c r="A246" s="98">
        <v>46569</v>
      </c>
      <c r="B246" s="106"/>
      <c r="C246" s="110">
        <v>46661</v>
      </c>
      <c r="D246" s="65">
        <v>151.1010425578456</v>
      </c>
      <c r="E246" s="66">
        <v>142.01225804308797</v>
      </c>
      <c r="F246" s="67">
        <v>208.49584952184838</v>
      </c>
      <c r="G246" s="66">
        <v>145.80129337192196</v>
      </c>
    </row>
    <row r="247" spans="1:7" x14ac:dyDescent="0.25">
      <c r="A247" s="98">
        <v>46539</v>
      </c>
      <c r="B247" s="106"/>
      <c r="C247" s="110">
        <v>46631</v>
      </c>
      <c r="D247" s="65">
        <v>150.52155629683767</v>
      </c>
      <c r="E247" s="66">
        <v>141.46762809853163</v>
      </c>
      <c r="F247" s="67">
        <v>207.98315480990945</v>
      </c>
      <c r="G247" s="66">
        <v>145.44276560133528</v>
      </c>
    </row>
    <row r="248" spans="1:7" x14ac:dyDescent="0.25">
      <c r="A248" s="98">
        <v>46508</v>
      </c>
      <c r="B248" s="106"/>
      <c r="C248" s="110">
        <v>46600</v>
      </c>
      <c r="D248" s="65">
        <v>151.24591412309769</v>
      </c>
      <c r="E248" s="66">
        <v>142.14841552922715</v>
      </c>
      <c r="F248" s="67">
        <v>207.47046009797049</v>
      </c>
      <c r="G248" s="66">
        <v>145.08423783074861</v>
      </c>
    </row>
    <row r="249" spans="1:7" x14ac:dyDescent="0.25">
      <c r="A249" s="98">
        <v>46478</v>
      </c>
      <c r="B249" s="106"/>
      <c r="C249" s="110">
        <v>46569</v>
      </c>
      <c r="D249" s="65">
        <v>151.97027194935774</v>
      </c>
      <c r="E249" s="66">
        <v>142.82920295992267</v>
      </c>
      <c r="F249" s="67">
        <v>208.76392518822169</v>
      </c>
      <c r="G249" s="66">
        <v>145.9887588728823</v>
      </c>
    </row>
    <row r="250" spans="1:7" x14ac:dyDescent="0.25">
      <c r="A250" s="98">
        <v>46447</v>
      </c>
      <c r="B250" s="106"/>
      <c r="C250" s="110">
        <v>46539</v>
      </c>
      <c r="D250" s="65">
        <v>152.11514351460971</v>
      </c>
      <c r="E250" s="66">
        <v>142.96536044606177</v>
      </c>
      <c r="F250" s="67">
        <v>208.26128331377168</v>
      </c>
      <c r="G250" s="66">
        <v>145.6372610585816</v>
      </c>
    </row>
    <row r="251" spans="1:7" x14ac:dyDescent="0.25">
      <c r="A251" s="98">
        <v>46419</v>
      </c>
      <c r="B251" s="106"/>
      <c r="C251" s="110">
        <v>46508</v>
      </c>
      <c r="D251" s="65">
        <v>152.26001507986174</v>
      </c>
      <c r="E251" s="66">
        <v>143.10151793220089</v>
      </c>
      <c r="F251" s="67">
        <v>207.75864143932176</v>
      </c>
      <c r="G251" s="66">
        <v>145.28576324428096</v>
      </c>
    </row>
    <row r="252" spans="1:7" x14ac:dyDescent="0.25">
      <c r="A252" s="98">
        <v>46388</v>
      </c>
      <c r="B252" s="106"/>
      <c r="C252" s="110">
        <v>46478</v>
      </c>
      <c r="D252" s="65">
        <v>151.82540038410573</v>
      </c>
      <c r="E252" s="66">
        <v>142.69304547378357</v>
      </c>
      <c r="F252" s="67">
        <v>207.25599956487176</v>
      </c>
      <c r="G252" s="66">
        <v>144.93426542998026</v>
      </c>
    </row>
    <row r="253" spans="1:7" x14ac:dyDescent="0.25">
      <c r="A253" s="98">
        <v>46357</v>
      </c>
      <c r="B253" s="106"/>
      <c r="C253" s="110">
        <v>46447</v>
      </c>
      <c r="D253" s="65">
        <v>151.53565725360173</v>
      </c>
      <c r="E253" s="66">
        <v>142.42073050150537</v>
      </c>
      <c r="F253" s="67">
        <v>206.58581039893849</v>
      </c>
      <c r="G253" s="66">
        <v>144.46560167757937</v>
      </c>
    </row>
    <row r="254" spans="1:7" x14ac:dyDescent="0.25">
      <c r="A254" s="98">
        <v>46327</v>
      </c>
      <c r="B254" s="106"/>
      <c r="C254" s="110">
        <v>46419</v>
      </c>
      <c r="D254" s="65">
        <v>153.12924447137377</v>
      </c>
      <c r="E254" s="66">
        <v>143.91846284903548</v>
      </c>
      <c r="F254" s="67">
        <v>206.08316852448854</v>
      </c>
      <c r="G254" s="66">
        <v>144.1141038632787</v>
      </c>
    </row>
    <row r="255" spans="1:7" x14ac:dyDescent="0.25">
      <c r="A255" s="99">
        <v>46296</v>
      </c>
      <c r="B255" s="107"/>
      <c r="C255" s="111">
        <v>46388</v>
      </c>
      <c r="D255" s="68">
        <v>148.42233891014678</v>
      </c>
      <c r="E255" s="69">
        <v>139.49467942682966</v>
      </c>
      <c r="F255" s="70">
        <v>205.58052665003854</v>
      </c>
      <c r="G255" s="69">
        <v>143.762606048978</v>
      </c>
    </row>
    <row r="256" spans="1:7" x14ac:dyDescent="0.25">
      <c r="A256" s="97">
        <v>46266</v>
      </c>
      <c r="B256" s="105"/>
      <c r="C256" s="112">
        <v>46357</v>
      </c>
      <c r="D256" s="62">
        <v>148.28030796382129</v>
      </c>
      <c r="E256" s="63">
        <v>139.36119169532074</v>
      </c>
      <c r="F256" s="64">
        <v>205.24543206707193</v>
      </c>
      <c r="G256" s="63">
        <v>143.52827417277757</v>
      </c>
    </row>
    <row r="257" spans="1:7" x14ac:dyDescent="0.25">
      <c r="A257" s="98">
        <v>46235</v>
      </c>
      <c r="B257" s="106"/>
      <c r="C257" s="110">
        <v>46327</v>
      </c>
      <c r="D257" s="65">
        <v>148.42233891014678</v>
      </c>
      <c r="E257" s="66">
        <v>139.49467942682966</v>
      </c>
      <c r="F257" s="67">
        <v>204.74279019262192</v>
      </c>
      <c r="G257" s="66">
        <v>143.17677635847687</v>
      </c>
    </row>
    <row r="258" spans="1:7" x14ac:dyDescent="0.25">
      <c r="A258" s="98">
        <v>46204</v>
      </c>
      <c r="B258" s="106"/>
      <c r="C258" s="110">
        <v>46296</v>
      </c>
      <c r="D258" s="65">
        <v>148.13827701749568</v>
      </c>
      <c r="E258" s="66">
        <v>139.22770396381173</v>
      </c>
      <c r="F258" s="67">
        <v>204.40769560965526</v>
      </c>
      <c r="G258" s="66">
        <v>142.94244448227641</v>
      </c>
    </row>
    <row r="259" spans="1:7" x14ac:dyDescent="0.25">
      <c r="A259" s="98">
        <v>46174</v>
      </c>
      <c r="B259" s="106"/>
      <c r="C259" s="110">
        <v>46266</v>
      </c>
      <c r="D259" s="65">
        <v>147.57015323219377</v>
      </c>
      <c r="E259" s="66">
        <v>138.6937530377761</v>
      </c>
      <c r="F259" s="67">
        <v>203.90505373520534</v>
      </c>
      <c r="G259" s="66">
        <v>142.59094666797577</v>
      </c>
    </row>
    <row r="260" spans="1:7" x14ac:dyDescent="0.25">
      <c r="A260" s="98">
        <v>46143</v>
      </c>
      <c r="B260" s="106"/>
      <c r="C260" s="110">
        <v>46235</v>
      </c>
      <c r="D260" s="65">
        <v>148.28030796382129</v>
      </c>
      <c r="E260" s="66">
        <v>139.36119169532074</v>
      </c>
      <c r="F260" s="67">
        <v>203.40241186075539</v>
      </c>
      <c r="G260" s="66">
        <v>142.2394488536751</v>
      </c>
    </row>
    <row r="261" spans="1:7" x14ac:dyDescent="0.25">
      <c r="A261" s="98">
        <v>46113</v>
      </c>
      <c r="B261" s="106"/>
      <c r="C261" s="110">
        <v>46204</v>
      </c>
      <c r="D261" s="65">
        <v>148.99046269544874</v>
      </c>
      <c r="E261" s="66">
        <v>140.02863035286535</v>
      </c>
      <c r="F261" s="67">
        <v>204.67051489041341</v>
      </c>
      <c r="G261" s="66">
        <v>143.1262341891003</v>
      </c>
    </row>
    <row r="262" spans="1:7" x14ac:dyDescent="0.25">
      <c r="A262" s="98">
        <v>46082</v>
      </c>
      <c r="B262" s="106"/>
      <c r="C262" s="110">
        <v>46174</v>
      </c>
      <c r="D262" s="65">
        <v>149.13249364177423</v>
      </c>
      <c r="E262" s="66">
        <v>140.16211808437427</v>
      </c>
      <c r="F262" s="67">
        <v>204.17772873899185</v>
      </c>
      <c r="G262" s="66">
        <v>142.7816284888055</v>
      </c>
    </row>
    <row r="263" spans="1:7" x14ac:dyDescent="0.25">
      <c r="A263" s="98">
        <v>46054</v>
      </c>
      <c r="B263" s="106"/>
      <c r="C263" s="110">
        <v>46143</v>
      </c>
      <c r="D263" s="65">
        <v>149.27452458809975</v>
      </c>
      <c r="E263" s="66">
        <v>140.29560581588322</v>
      </c>
      <c r="F263" s="67">
        <v>203.68494258757036</v>
      </c>
      <c r="G263" s="66">
        <v>142.43702278851075</v>
      </c>
    </row>
    <row r="264" spans="1:7" x14ac:dyDescent="0.25">
      <c r="A264" s="98">
        <v>46023</v>
      </c>
      <c r="B264" s="106"/>
      <c r="C264" s="110">
        <v>46113</v>
      </c>
      <c r="D264" s="65">
        <v>148.84843174912325</v>
      </c>
      <c r="E264" s="66">
        <v>139.89514262135643</v>
      </c>
      <c r="F264" s="67">
        <v>203.19215643614879</v>
      </c>
      <c r="G264" s="66">
        <v>142.09241708821594</v>
      </c>
    </row>
    <row r="265" spans="1:7" x14ac:dyDescent="0.25">
      <c r="A265" s="98">
        <v>45992</v>
      </c>
      <c r="B265" s="106"/>
      <c r="C265" s="110">
        <v>46082</v>
      </c>
      <c r="D265" s="65">
        <v>148.5643698564723</v>
      </c>
      <c r="E265" s="66">
        <v>139.62816715833861</v>
      </c>
      <c r="F265" s="67">
        <v>202.53510823425341</v>
      </c>
      <c r="G265" s="66">
        <v>141.63294282115623</v>
      </c>
    </row>
    <row r="266" spans="1:7" x14ac:dyDescent="0.25">
      <c r="A266" s="98">
        <v>45962</v>
      </c>
      <c r="B266" s="106"/>
      <c r="C266" s="110">
        <v>46054</v>
      </c>
      <c r="D266" s="65">
        <v>150.1267102660527</v>
      </c>
      <c r="E266" s="66">
        <v>141.09653220493675</v>
      </c>
      <c r="F266" s="67">
        <v>202.04232208283187</v>
      </c>
      <c r="G266" s="66">
        <v>141.28833712086146</v>
      </c>
    </row>
    <row r="267" spans="1:7" x14ac:dyDescent="0.25">
      <c r="A267" s="99">
        <v>45931</v>
      </c>
      <c r="B267" s="107"/>
      <c r="C267" s="111">
        <v>46023</v>
      </c>
      <c r="D267" s="68">
        <v>145.5120969707321</v>
      </c>
      <c r="E267" s="69">
        <v>136.75948963414672</v>
      </c>
      <c r="F267" s="70">
        <v>201.54953593141033</v>
      </c>
      <c r="G267" s="69">
        <v>140.94373142056668</v>
      </c>
    </row>
    <row r="268" spans="1:7" x14ac:dyDescent="0.25">
      <c r="A268" s="97">
        <v>45901</v>
      </c>
      <c r="B268" s="105"/>
      <c r="C268" s="112">
        <v>45992</v>
      </c>
      <c r="D268" s="62">
        <v>145.37285094492282</v>
      </c>
      <c r="E268" s="63">
        <v>136.62861930913797</v>
      </c>
      <c r="F268" s="64">
        <v>201.22101183046266</v>
      </c>
      <c r="G268" s="63">
        <v>140.71399428703683</v>
      </c>
    </row>
    <row r="269" spans="1:7" x14ac:dyDescent="0.25">
      <c r="A269" s="98">
        <v>45870</v>
      </c>
      <c r="B269" s="106"/>
      <c r="C269" s="110">
        <v>45962</v>
      </c>
      <c r="D269" s="65">
        <v>145.5120969707321</v>
      </c>
      <c r="E269" s="66">
        <v>136.75948963414672</v>
      </c>
      <c r="F269" s="67">
        <v>200.72822567904109</v>
      </c>
      <c r="G269" s="66">
        <v>140.36938858674202</v>
      </c>
    </row>
    <row r="270" spans="1:7" x14ac:dyDescent="0.25">
      <c r="A270" s="98">
        <v>45839</v>
      </c>
      <c r="B270" s="106"/>
      <c r="C270" s="110">
        <v>45931</v>
      </c>
      <c r="D270" s="65">
        <v>145.23360491911342</v>
      </c>
      <c r="E270" s="66">
        <v>136.49774898412915</v>
      </c>
      <c r="F270" s="67">
        <v>200.39970157809339</v>
      </c>
      <c r="G270" s="66">
        <v>140.13965145321217</v>
      </c>
    </row>
    <row r="271" spans="1:7" x14ac:dyDescent="0.25">
      <c r="A271" s="98">
        <v>45809</v>
      </c>
      <c r="B271" s="106"/>
      <c r="C271" s="110">
        <v>45901</v>
      </c>
      <c r="D271" s="65">
        <v>144.67662081587628</v>
      </c>
      <c r="E271" s="66">
        <v>135.97426768409423</v>
      </c>
      <c r="F271" s="67">
        <v>199.9069154266719</v>
      </c>
      <c r="G271" s="66">
        <v>139.79504575291742</v>
      </c>
    </row>
    <row r="272" spans="1:7" x14ac:dyDescent="0.25">
      <c r="A272" s="98">
        <v>45778</v>
      </c>
      <c r="B272" s="106"/>
      <c r="C272" s="110">
        <v>45870</v>
      </c>
      <c r="D272" s="65">
        <v>145.37285094492282</v>
      </c>
      <c r="E272" s="66">
        <v>136.62861930913797</v>
      </c>
      <c r="F272" s="67">
        <v>199.41412927525036</v>
      </c>
      <c r="G272" s="66">
        <v>139.45044005262264</v>
      </c>
    </row>
    <row r="273" spans="1:7" x14ac:dyDescent="0.25">
      <c r="A273" s="98">
        <v>45748</v>
      </c>
      <c r="B273" s="106"/>
      <c r="C273" s="110">
        <v>45839</v>
      </c>
      <c r="D273" s="65">
        <v>146.06908107396936</v>
      </c>
      <c r="E273" s="66">
        <v>137.28297093418172</v>
      </c>
      <c r="F273" s="67">
        <v>200.65736753962099</v>
      </c>
      <c r="G273" s="66">
        <v>140.31983744029441</v>
      </c>
    </row>
    <row r="274" spans="1:7" x14ac:dyDescent="0.25">
      <c r="A274" s="98">
        <v>45717</v>
      </c>
      <c r="B274" s="106"/>
      <c r="C274" s="110">
        <v>45809</v>
      </c>
      <c r="D274" s="65">
        <v>146.20832709977867</v>
      </c>
      <c r="E274" s="66">
        <v>137.41384125919046</v>
      </c>
      <c r="F274" s="67">
        <v>200.17424386175671</v>
      </c>
      <c r="G274" s="66">
        <v>139.98198871451518</v>
      </c>
    </row>
    <row r="275" spans="1:7" x14ac:dyDescent="0.25">
      <c r="A275" s="98">
        <v>45689</v>
      </c>
      <c r="B275" s="106"/>
      <c r="C275" s="110">
        <v>45778</v>
      </c>
      <c r="D275" s="65">
        <v>146.34757312558799</v>
      </c>
      <c r="E275" s="66">
        <v>137.54471158419923</v>
      </c>
      <c r="F275" s="67">
        <v>199.69112018389248</v>
      </c>
      <c r="G275" s="66">
        <v>139.64413998873601</v>
      </c>
    </row>
    <row r="276" spans="1:7" x14ac:dyDescent="0.25">
      <c r="A276" s="98">
        <v>45658</v>
      </c>
      <c r="B276" s="106"/>
      <c r="C276" s="110">
        <v>45748</v>
      </c>
      <c r="D276" s="65">
        <v>145.92983504816004</v>
      </c>
      <c r="E276" s="66">
        <v>137.15210060917298</v>
      </c>
      <c r="F276" s="67">
        <v>199.20799650602819</v>
      </c>
      <c r="G276" s="66">
        <v>139.30629126295679</v>
      </c>
    </row>
    <row r="277" spans="1:7" x14ac:dyDescent="0.25">
      <c r="A277" s="98">
        <v>45627</v>
      </c>
      <c r="B277" s="106"/>
      <c r="C277" s="110">
        <v>45717</v>
      </c>
      <c r="D277" s="65">
        <v>145.65134299654144</v>
      </c>
      <c r="E277" s="66">
        <v>136.89035995915549</v>
      </c>
      <c r="F277" s="67">
        <v>198.56383160220921</v>
      </c>
      <c r="G277" s="66">
        <v>138.85582629525121</v>
      </c>
    </row>
    <row r="278" spans="1:7" x14ac:dyDescent="0.25">
      <c r="A278" s="98">
        <v>45597</v>
      </c>
      <c r="B278" s="106"/>
      <c r="C278" s="110">
        <v>45689</v>
      </c>
      <c r="D278" s="65">
        <v>147.18304928044384</v>
      </c>
      <c r="E278" s="66">
        <v>138.32993353425172</v>
      </c>
      <c r="F278" s="67">
        <v>198.08070792434498</v>
      </c>
      <c r="G278" s="66">
        <v>138.51797756947201</v>
      </c>
    </row>
    <row r="279" spans="1:7" x14ac:dyDescent="0.25">
      <c r="A279" s="99">
        <v>45566</v>
      </c>
      <c r="B279" s="107"/>
      <c r="C279" s="111">
        <v>45658</v>
      </c>
      <c r="D279" s="68">
        <v>142.65891859875697</v>
      </c>
      <c r="E279" s="69">
        <v>134.07793101386932</v>
      </c>
      <c r="F279" s="70">
        <v>197.59758424648072</v>
      </c>
      <c r="G279" s="69">
        <v>138.18012884369281</v>
      </c>
    </row>
    <row r="280" spans="1:7" x14ac:dyDescent="0.25">
      <c r="A280" s="97">
        <v>45536</v>
      </c>
      <c r="B280" s="105"/>
      <c r="C280" s="112">
        <v>45627</v>
      </c>
      <c r="D280" s="62">
        <v>142.52240288717923</v>
      </c>
      <c r="E280" s="63">
        <v>133.94962677366468</v>
      </c>
      <c r="F280" s="64">
        <v>197.27550179457126</v>
      </c>
      <c r="G280" s="63">
        <v>137.95489635984003</v>
      </c>
    </row>
    <row r="281" spans="1:7" x14ac:dyDescent="0.25">
      <c r="A281" s="98">
        <v>45505</v>
      </c>
      <c r="B281" s="106"/>
      <c r="C281" s="110">
        <v>45597</v>
      </c>
      <c r="D281" s="65">
        <v>142.65891859875697</v>
      </c>
      <c r="E281" s="66">
        <v>134.07793101386932</v>
      </c>
      <c r="F281" s="67">
        <v>196.79237811670694</v>
      </c>
      <c r="G281" s="66">
        <v>137.61704763406081</v>
      </c>
    </row>
    <row r="282" spans="1:7" x14ac:dyDescent="0.25">
      <c r="A282" s="98">
        <v>45474</v>
      </c>
      <c r="B282" s="106"/>
      <c r="C282" s="110">
        <v>45566</v>
      </c>
      <c r="D282" s="65">
        <v>142.3858871756014</v>
      </c>
      <c r="E282" s="66">
        <v>133.82132253345995</v>
      </c>
      <c r="F282" s="67">
        <v>196.47029566479745</v>
      </c>
      <c r="G282" s="66">
        <v>137.391815150208</v>
      </c>
    </row>
    <row r="283" spans="1:7" x14ac:dyDescent="0.25">
      <c r="A283" s="98">
        <v>45444</v>
      </c>
      <c r="B283" s="106"/>
      <c r="C283" s="110">
        <v>45536</v>
      </c>
      <c r="D283" s="65">
        <v>141.83982432929048</v>
      </c>
      <c r="E283" s="66">
        <v>133.30810557264141</v>
      </c>
      <c r="F283" s="67">
        <v>195.98717198693322</v>
      </c>
      <c r="G283" s="66">
        <v>137.05396642442884</v>
      </c>
    </row>
    <row r="284" spans="1:7" x14ac:dyDescent="0.25">
      <c r="A284" s="98">
        <v>45413</v>
      </c>
      <c r="B284" s="106"/>
      <c r="C284" s="110">
        <v>45505</v>
      </c>
      <c r="D284" s="65">
        <v>142.52240288717923</v>
      </c>
      <c r="E284" s="66">
        <v>133.94962677366468</v>
      </c>
      <c r="F284" s="67">
        <v>195.50404830906896</v>
      </c>
      <c r="G284" s="66">
        <v>136.71611769864964</v>
      </c>
    </row>
    <row r="285" spans="1:7" x14ac:dyDescent="0.25">
      <c r="A285" s="98">
        <v>45383</v>
      </c>
      <c r="B285" s="106"/>
      <c r="C285" s="110">
        <v>45474</v>
      </c>
      <c r="D285" s="65">
        <v>143.204981445068</v>
      </c>
      <c r="E285" s="66">
        <v>134.59114797468797</v>
      </c>
      <c r="F285" s="67">
        <v>196.72290935256959</v>
      </c>
      <c r="G285" s="66">
        <v>137.56846807872</v>
      </c>
    </row>
    <row r="286" spans="1:7" x14ac:dyDescent="0.25">
      <c r="A286" s="98">
        <v>45352</v>
      </c>
      <c r="B286" s="106"/>
      <c r="C286" s="110">
        <v>45444</v>
      </c>
      <c r="D286" s="65">
        <v>143.34149715664574</v>
      </c>
      <c r="E286" s="66">
        <v>134.71945221489261</v>
      </c>
      <c r="F286" s="67">
        <v>196.24925868799679</v>
      </c>
      <c r="G286" s="66">
        <v>137.23724383775999</v>
      </c>
    </row>
    <row r="287" spans="1:7" x14ac:dyDescent="0.25">
      <c r="A287" s="98">
        <v>45323</v>
      </c>
      <c r="B287" s="106"/>
      <c r="C287" s="110">
        <v>45413</v>
      </c>
      <c r="D287" s="65">
        <v>143.47801286822352</v>
      </c>
      <c r="E287" s="66">
        <v>134.84775645509728</v>
      </c>
      <c r="F287" s="67">
        <v>195.77560802342401</v>
      </c>
      <c r="G287" s="66">
        <v>136.90601959680001</v>
      </c>
    </row>
    <row r="288" spans="1:7" x14ac:dyDescent="0.25">
      <c r="A288" s="98">
        <v>45292</v>
      </c>
      <c r="B288" s="106"/>
      <c r="C288" s="110">
        <v>45383</v>
      </c>
      <c r="D288" s="65">
        <v>143.06846573349023</v>
      </c>
      <c r="E288" s="66">
        <v>134.4628437344833</v>
      </c>
      <c r="F288" s="67">
        <v>195.30195735885118</v>
      </c>
      <c r="G288" s="66">
        <v>136.57479535584</v>
      </c>
    </row>
    <row r="289" spans="1:7" x14ac:dyDescent="0.25">
      <c r="A289" s="98">
        <v>45261</v>
      </c>
      <c r="B289" s="106"/>
      <c r="C289" s="110">
        <v>45352</v>
      </c>
      <c r="D289" s="65">
        <v>142.79543431033477</v>
      </c>
      <c r="E289" s="66">
        <v>134.20623525407402</v>
      </c>
      <c r="F289" s="67">
        <v>194.67042313942079</v>
      </c>
      <c r="G289" s="66">
        <v>136.13316303456</v>
      </c>
    </row>
    <row r="290" spans="1:7" x14ac:dyDescent="0.25">
      <c r="A290" s="98">
        <v>45231</v>
      </c>
      <c r="B290" s="106"/>
      <c r="C290" s="110">
        <v>45323</v>
      </c>
      <c r="D290" s="65">
        <v>144.29710713769003</v>
      </c>
      <c r="E290" s="66">
        <v>135.61758189632522</v>
      </c>
      <c r="F290" s="67">
        <v>194.19677247484802</v>
      </c>
      <c r="G290" s="66">
        <v>135.80193879360002</v>
      </c>
    </row>
    <row r="291" spans="1:7" x14ac:dyDescent="0.25">
      <c r="A291" s="99">
        <v>45200</v>
      </c>
      <c r="B291" s="107"/>
      <c r="C291" s="111">
        <v>45292</v>
      </c>
      <c r="D291" s="68">
        <v>139.86168490074212</v>
      </c>
      <c r="E291" s="69">
        <v>131.44895197438169</v>
      </c>
      <c r="F291" s="70">
        <v>193.72312181027519</v>
      </c>
      <c r="G291" s="69">
        <v>135.47071455264</v>
      </c>
    </row>
    <row r="292" spans="1:7" x14ac:dyDescent="0.25">
      <c r="A292" s="97">
        <v>45170</v>
      </c>
      <c r="B292" s="105"/>
      <c r="C292" s="112">
        <v>45261</v>
      </c>
      <c r="D292" s="62">
        <v>139.72784596782276</v>
      </c>
      <c r="E292" s="63">
        <v>131.32316350359281</v>
      </c>
      <c r="F292" s="64">
        <v>193.40735470056003</v>
      </c>
      <c r="G292" s="63">
        <v>135.24989839200003</v>
      </c>
    </row>
    <row r="293" spans="1:7" x14ac:dyDescent="0.25">
      <c r="A293" s="98">
        <v>45139</v>
      </c>
      <c r="B293" s="106"/>
      <c r="C293" s="110">
        <v>45231</v>
      </c>
      <c r="D293" s="65">
        <v>139.86168490074212</v>
      </c>
      <c r="E293" s="66">
        <v>131.44895197438169</v>
      </c>
      <c r="F293" s="67">
        <v>192.93370403598718</v>
      </c>
      <c r="G293" s="66">
        <v>134.91867415103999</v>
      </c>
    </row>
    <row r="294" spans="1:7" x14ac:dyDescent="0.25">
      <c r="A294" s="98">
        <v>45108</v>
      </c>
      <c r="B294" s="106"/>
      <c r="C294" s="110">
        <v>45200</v>
      </c>
      <c r="D294" s="65">
        <v>139.59400703490334</v>
      </c>
      <c r="E294" s="66">
        <v>131.19737503280388</v>
      </c>
      <c r="F294" s="67">
        <v>192.61793692627199</v>
      </c>
      <c r="G294" s="66">
        <v>134.6978579904</v>
      </c>
    </row>
    <row r="295" spans="1:7" x14ac:dyDescent="0.25">
      <c r="A295" s="98">
        <v>45078</v>
      </c>
      <c r="B295" s="106"/>
      <c r="C295" s="110">
        <v>45170</v>
      </c>
      <c r="D295" s="65">
        <v>139.05865130322593</v>
      </c>
      <c r="E295" s="66">
        <v>130.69422114964843</v>
      </c>
      <c r="F295" s="67">
        <v>192.14428626169925</v>
      </c>
      <c r="G295" s="66">
        <v>134.36663374944004</v>
      </c>
    </row>
    <row r="296" spans="1:7" x14ac:dyDescent="0.25">
      <c r="A296" s="98">
        <v>45047</v>
      </c>
      <c r="B296" s="106"/>
      <c r="C296" s="110">
        <v>45139</v>
      </c>
      <c r="D296" s="65">
        <v>139.72784596782276</v>
      </c>
      <c r="E296" s="66">
        <v>131.32316350359281</v>
      </c>
      <c r="F296" s="67">
        <v>191.67063559712642</v>
      </c>
      <c r="G296" s="66">
        <v>134.03540950848003</v>
      </c>
    </row>
    <row r="297" spans="1:7" x14ac:dyDescent="0.25">
      <c r="A297" s="98">
        <v>45017</v>
      </c>
      <c r="B297" s="106"/>
      <c r="C297" s="110">
        <v>45108</v>
      </c>
      <c r="D297" s="65">
        <v>140.39704063241962</v>
      </c>
      <c r="E297" s="66">
        <v>131.95210585753722</v>
      </c>
      <c r="F297" s="67">
        <v>192.86559740447998</v>
      </c>
      <c r="G297" s="66">
        <v>134.87104713599999</v>
      </c>
    </row>
    <row r="298" spans="1:7" x14ac:dyDescent="0.25">
      <c r="A298" s="98">
        <v>44986</v>
      </c>
      <c r="B298" s="106"/>
      <c r="C298" s="110">
        <v>45078</v>
      </c>
      <c r="D298" s="65">
        <v>140.53087956533898</v>
      </c>
      <c r="E298" s="66">
        <v>132.0778943283261</v>
      </c>
      <c r="F298" s="67">
        <v>192.40123400784</v>
      </c>
      <c r="G298" s="66">
        <v>134.546317488</v>
      </c>
    </row>
    <row r="299" spans="1:7" x14ac:dyDescent="0.25">
      <c r="A299" s="98">
        <v>44958</v>
      </c>
      <c r="B299" s="106"/>
      <c r="C299" s="110">
        <v>45047</v>
      </c>
      <c r="D299" s="65">
        <v>140.66471849825834</v>
      </c>
      <c r="E299" s="66">
        <v>132.20368279911497</v>
      </c>
      <c r="F299" s="67">
        <v>191.93687061120002</v>
      </c>
      <c r="G299" s="66">
        <v>134.22158784000001</v>
      </c>
    </row>
    <row r="300" spans="1:7" x14ac:dyDescent="0.25">
      <c r="A300" s="98">
        <v>44927</v>
      </c>
      <c r="B300" s="106"/>
      <c r="C300" s="110">
        <v>45017</v>
      </c>
      <c r="D300" s="65">
        <v>140.26320169950026</v>
      </c>
      <c r="E300" s="66">
        <v>131.82631738674834</v>
      </c>
      <c r="F300" s="67">
        <v>191.47250721455998</v>
      </c>
      <c r="G300" s="66">
        <v>133.896858192</v>
      </c>
    </row>
    <row r="301" spans="1:7" x14ac:dyDescent="0.25">
      <c r="A301" s="98">
        <v>44896</v>
      </c>
      <c r="B301" s="106"/>
      <c r="C301" s="110">
        <v>44986</v>
      </c>
      <c r="D301" s="65">
        <v>139.99552383366151</v>
      </c>
      <c r="E301" s="66">
        <v>131.57474044517059</v>
      </c>
      <c r="F301" s="67">
        <v>190.85335601904001</v>
      </c>
      <c r="G301" s="66">
        <v>133.463885328</v>
      </c>
    </row>
    <row r="302" spans="1:7" x14ac:dyDescent="0.25">
      <c r="A302" s="98">
        <v>44866</v>
      </c>
      <c r="B302" s="106"/>
      <c r="C302" s="110">
        <v>44958</v>
      </c>
      <c r="D302" s="65">
        <v>141.46775209577456</v>
      </c>
      <c r="E302" s="66">
        <v>132.95841362384826</v>
      </c>
      <c r="F302" s="67">
        <v>190.38899262240002</v>
      </c>
      <c r="G302" s="66">
        <v>133.13915568000002</v>
      </c>
    </row>
    <row r="303" spans="1:7" x14ac:dyDescent="0.25">
      <c r="A303" s="99">
        <v>44835</v>
      </c>
      <c r="B303" s="107"/>
      <c r="C303" s="111">
        <v>44927</v>
      </c>
      <c r="D303" s="68">
        <v>137.1192989222962</v>
      </c>
      <c r="E303" s="69">
        <v>128.87152154351145</v>
      </c>
      <c r="F303" s="70">
        <v>189.92462922575999</v>
      </c>
      <c r="G303" s="69">
        <v>132.814426032</v>
      </c>
    </row>
    <row r="304" spans="1:7" x14ac:dyDescent="0.25">
      <c r="A304" s="97">
        <v>44805</v>
      </c>
      <c r="B304" s="105"/>
      <c r="C304" s="112">
        <v>44896</v>
      </c>
      <c r="D304" s="62">
        <v>136.98808428217919</v>
      </c>
      <c r="E304" s="63">
        <v>128.74819951332628</v>
      </c>
      <c r="F304" s="64">
        <v>189.61505362800003</v>
      </c>
      <c r="G304" s="63">
        <v>132.59793960000002</v>
      </c>
    </row>
    <row r="305" spans="1:7" x14ac:dyDescent="0.25">
      <c r="A305" s="98">
        <v>44774</v>
      </c>
      <c r="B305" s="106"/>
      <c r="C305" s="110">
        <v>44866</v>
      </c>
      <c r="D305" s="65">
        <v>137.1192989222962</v>
      </c>
      <c r="E305" s="66">
        <v>128.87152154351145</v>
      </c>
      <c r="F305" s="67">
        <v>189.15069023135999</v>
      </c>
      <c r="G305" s="66">
        <v>132.273209952</v>
      </c>
    </row>
    <row r="306" spans="1:7" x14ac:dyDescent="0.25">
      <c r="A306" s="98">
        <v>44743</v>
      </c>
      <c r="B306" s="106"/>
      <c r="C306" s="110">
        <v>44835</v>
      </c>
      <c r="D306" s="65">
        <v>136.85686964206209</v>
      </c>
      <c r="E306" s="66">
        <v>128.62487748314106</v>
      </c>
      <c r="F306" s="67">
        <v>188.84111463359997</v>
      </c>
      <c r="G306" s="66">
        <v>132.05672351999999</v>
      </c>
    </row>
    <row r="307" spans="1:7" x14ac:dyDescent="0.25">
      <c r="A307" s="98">
        <v>44713</v>
      </c>
      <c r="B307" s="106"/>
      <c r="C307" s="110">
        <v>44805</v>
      </c>
      <c r="D307" s="65">
        <v>136.33201108159403</v>
      </c>
      <c r="E307" s="66">
        <v>128.1315893624004</v>
      </c>
      <c r="F307" s="67">
        <v>188.37675123696005</v>
      </c>
      <c r="G307" s="66">
        <v>131.73199387200003</v>
      </c>
    </row>
    <row r="308" spans="1:7" x14ac:dyDescent="0.25">
      <c r="A308" s="98">
        <v>44682</v>
      </c>
      <c r="B308" s="106"/>
      <c r="C308" s="110">
        <v>44774</v>
      </c>
      <c r="D308" s="65">
        <v>136.98808428217919</v>
      </c>
      <c r="E308" s="66">
        <v>128.74819951332628</v>
      </c>
      <c r="F308" s="67">
        <v>187.91238784032001</v>
      </c>
      <c r="G308" s="66">
        <v>131.40726422400002</v>
      </c>
    </row>
    <row r="309" spans="1:7" x14ac:dyDescent="0.25">
      <c r="A309" s="98">
        <v>44652</v>
      </c>
      <c r="B309" s="106"/>
      <c r="C309" s="110">
        <v>44743</v>
      </c>
      <c r="D309" s="65">
        <v>137.64415748276431</v>
      </c>
      <c r="E309" s="66">
        <v>129.36480966425216</v>
      </c>
      <c r="F309" s="67">
        <v>189.08391902399998</v>
      </c>
      <c r="G309" s="66">
        <v>132.22651679999998</v>
      </c>
    </row>
    <row r="310" spans="1:7" x14ac:dyDescent="0.25">
      <c r="A310" s="98">
        <v>44621</v>
      </c>
      <c r="B310" s="106"/>
      <c r="C310" s="110">
        <v>44713</v>
      </c>
      <c r="D310" s="65">
        <v>137.77537212288135</v>
      </c>
      <c r="E310" s="66">
        <v>129.48813169443736</v>
      </c>
      <c r="F310" s="67">
        <v>188.62866079200001</v>
      </c>
      <c r="G310" s="66">
        <v>131.9081544</v>
      </c>
    </row>
    <row r="311" spans="1:7" x14ac:dyDescent="0.25">
      <c r="A311" s="98">
        <v>44593</v>
      </c>
      <c r="B311" s="106"/>
      <c r="C311" s="110">
        <v>44682</v>
      </c>
      <c r="D311" s="65">
        <v>137.90658676299836</v>
      </c>
      <c r="E311" s="66">
        <v>129.61145372462252</v>
      </c>
      <c r="F311" s="67">
        <v>188.17340256000003</v>
      </c>
      <c r="G311" s="66">
        <v>131.58979200000002</v>
      </c>
    </row>
    <row r="312" spans="1:7" x14ac:dyDescent="0.25">
      <c r="A312" s="98">
        <v>44562</v>
      </c>
      <c r="B312" s="106"/>
      <c r="C312" s="110">
        <v>44652</v>
      </c>
      <c r="D312" s="65">
        <v>137.51294284264731</v>
      </c>
      <c r="E312" s="66">
        <v>129.241487634067</v>
      </c>
      <c r="F312" s="67">
        <v>187.71814432799999</v>
      </c>
      <c r="G312" s="66">
        <v>131.2714296</v>
      </c>
    </row>
    <row r="313" spans="1:7" x14ac:dyDescent="0.25">
      <c r="A313" s="98">
        <v>44531</v>
      </c>
      <c r="B313" s="106"/>
      <c r="C313" s="110">
        <v>44621</v>
      </c>
      <c r="D313" s="65">
        <v>137.25051356241323</v>
      </c>
      <c r="E313" s="66">
        <v>128.99484357369664</v>
      </c>
      <c r="F313" s="67">
        <v>187.111133352</v>
      </c>
      <c r="G313" s="66">
        <v>130.84694640000001</v>
      </c>
    </row>
    <row r="314" spans="1:7" x14ac:dyDescent="0.25">
      <c r="A314" s="98">
        <v>44501</v>
      </c>
      <c r="B314" s="106"/>
      <c r="C314" s="110">
        <v>44593</v>
      </c>
      <c r="D314" s="65">
        <v>138.69387460370055</v>
      </c>
      <c r="E314" s="66">
        <v>130.35138590573359</v>
      </c>
      <c r="F314" s="67">
        <v>186.65587512000002</v>
      </c>
      <c r="G314" s="66">
        <v>130.52858400000002</v>
      </c>
    </row>
    <row r="315" spans="1:7" x14ac:dyDescent="0.25">
      <c r="A315" s="99">
        <v>44470</v>
      </c>
      <c r="B315" s="107"/>
      <c r="C315" s="111">
        <v>44562</v>
      </c>
      <c r="D315" s="68">
        <v>134.43068521793742</v>
      </c>
      <c r="E315" s="69">
        <v>126.3446289642269</v>
      </c>
      <c r="F315" s="70">
        <v>186.20061688800001</v>
      </c>
      <c r="G315" s="69">
        <v>130.21022160000001</v>
      </c>
    </row>
    <row r="316" spans="1:7" x14ac:dyDescent="0.25">
      <c r="A316" s="98">
        <v>44440</v>
      </c>
      <c r="B316" s="106"/>
      <c r="C316" s="110">
        <v>44531</v>
      </c>
      <c r="D316" s="65">
        <v>134.30204341390115</v>
      </c>
      <c r="E316" s="66">
        <v>126.22372501306498</v>
      </c>
      <c r="F316" s="67">
        <v>185.8971114</v>
      </c>
      <c r="G316" s="66">
        <v>129.99798000000001</v>
      </c>
    </row>
    <row r="317" spans="1:7" x14ac:dyDescent="0.25">
      <c r="A317" s="98">
        <v>44409</v>
      </c>
      <c r="B317" s="106"/>
      <c r="C317" s="110">
        <v>44501</v>
      </c>
      <c r="D317" s="65">
        <v>134.43068521793742</v>
      </c>
      <c r="E317" s="66">
        <v>126.3446289642269</v>
      </c>
      <c r="F317" s="67">
        <v>185.44185316799999</v>
      </c>
      <c r="G317" s="66">
        <v>129.6796176</v>
      </c>
    </row>
    <row r="318" spans="1:7" x14ac:dyDescent="0.25">
      <c r="A318" s="98">
        <v>44378</v>
      </c>
      <c r="B318" s="106"/>
      <c r="C318" s="110">
        <v>44470</v>
      </c>
      <c r="D318" s="65">
        <v>134.17340160986481</v>
      </c>
      <c r="E318" s="66">
        <v>126.102821061903</v>
      </c>
      <c r="F318" s="67">
        <v>185.13834767999998</v>
      </c>
      <c r="G318" s="66">
        <v>129.467376</v>
      </c>
    </row>
    <row r="319" spans="1:7" x14ac:dyDescent="0.25">
      <c r="A319" s="98">
        <v>44348</v>
      </c>
      <c r="B319" s="106"/>
      <c r="C319" s="110">
        <v>44440</v>
      </c>
      <c r="D319" s="65">
        <v>133.65883439371964</v>
      </c>
      <c r="E319" s="66">
        <v>125.61920525725529</v>
      </c>
      <c r="F319" s="67">
        <v>184.683089448</v>
      </c>
      <c r="G319" s="66">
        <v>129.14901360000002</v>
      </c>
    </row>
    <row r="320" spans="1:7" x14ac:dyDescent="0.25">
      <c r="A320" s="98">
        <v>44317</v>
      </c>
      <c r="B320" s="106"/>
      <c r="C320" s="110">
        <v>44409</v>
      </c>
      <c r="D320" s="65">
        <v>134.30204341390115</v>
      </c>
      <c r="E320" s="66">
        <v>126.22372501306498</v>
      </c>
      <c r="F320" s="67">
        <v>184.227831216</v>
      </c>
      <c r="G320" s="66">
        <v>128.83065120000001</v>
      </c>
    </row>
    <row r="321" spans="1:8" x14ac:dyDescent="0.25">
      <c r="A321" s="98">
        <v>44287</v>
      </c>
      <c r="B321" s="106"/>
      <c r="C321" s="110">
        <v>44378</v>
      </c>
      <c r="D321" s="65">
        <v>134.94525243408265</v>
      </c>
      <c r="E321" s="66">
        <v>126.82824476887465</v>
      </c>
      <c r="F321" s="67">
        <v>185.37639119999997</v>
      </c>
      <c r="G321" s="66">
        <v>129.63383999999999</v>
      </c>
    </row>
    <row r="322" spans="1:8" x14ac:dyDescent="0.25">
      <c r="A322" s="98">
        <v>44256</v>
      </c>
      <c r="B322" s="106"/>
      <c r="C322" s="110">
        <v>44348</v>
      </c>
      <c r="D322" s="65">
        <v>135.07389423811898</v>
      </c>
      <c r="E322" s="66">
        <v>126.94914872003662</v>
      </c>
      <c r="F322" s="67">
        <v>184.93005959999999</v>
      </c>
      <c r="G322" s="66">
        <v>129.32172</v>
      </c>
    </row>
    <row r="323" spans="1:8" x14ac:dyDescent="0.25">
      <c r="A323" s="98">
        <v>44228</v>
      </c>
      <c r="B323" s="106"/>
      <c r="C323" s="110">
        <v>44317</v>
      </c>
      <c r="D323" s="65">
        <v>135.20253604215526</v>
      </c>
      <c r="E323" s="66">
        <v>127.07005267119854</v>
      </c>
      <c r="F323" s="67">
        <v>184.48372800000001</v>
      </c>
      <c r="G323" s="66">
        <v>129.00960000000001</v>
      </c>
    </row>
    <row r="324" spans="1:8" x14ac:dyDescent="0.25">
      <c r="A324" s="98">
        <v>44197</v>
      </c>
      <c r="B324" s="106"/>
      <c r="C324" s="110">
        <v>44287</v>
      </c>
      <c r="D324" s="65">
        <v>134.81661063004637</v>
      </c>
      <c r="E324" s="66">
        <v>126.70734081771273</v>
      </c>
      <c r="F324" s="67">
        <v>184.03739640000001</v>
      </c>
      <c r="G324" s="66">
        <v>128.69748000000001</v>
      </c>
    </row>
    <row r="325" spans="1:8" x14ac:dyDescent="0.25">
      <c r="A325" s="98">
        <v>44166</v>
      </c>
      <c r="B325" s="106"/>
      <c r="C325" s="110">
        <v>44256</v>
      </c>
      <c r="D325" s="71">
        <v>134.55932702197373</v>
      </c>
      <c r="E325" s="72">
        <v>126.46553291538885</v>
      </c>
      <c r="F325" s="67">
        <v>183.44228759999999</v>
      </c>
      <c r="G325" s="66">
        <v>128.28131999999999</v>
      </c>
    </row>
    <row r="326" spans="1:8" x14ac:dyDescent="0.25">
      <c r="A326" s="98">
        <v>44136</v>
      </c>
      <c r="B326" s="106"/>
      <c r="C326" s="110">
        <v>44228</v>
      </c>
      <c r="D326" s="71">
        <v>135.9743868663731</v>
      </c>
      <c r="E326" s="72">
        <v>127.79547637817019</v>
      </c>
      <c r="F326" s="67">
        <v>182.99595600000001</v>
      </c>
      <c r="G326" s="66">
        <v>127.96920000000001</v>
      </c>
    </row>
    <row r="327" spans="1:8" x14ac:dyDescent="0.25">
      <c r="A327" s="99">
        <v>44105</v>
      </c>
      <c r="B327" s="107"/>
      <c r="C327" s="111">
        <v>44197</v>
      </c>
      <c r="D327" s="73">
        <v>131.79478942935043</v>
      </c>
      <c r="E327" s="74">
        <v>123.86728329826167</v>
      </c>
      <c r="F327" s="70">
        <v>182.5496244</v>
      </c>
      <c r="G327" s="66">
        <v>127.65708000000001</v>
      </c>
    </row>
    <row r="328" spans="1:8" x14ac:dyDescent="0.25">
      <c r="A328" s="100">
        <v>44075</v>
      </c>
      <c r="B328" s="106"/>
      <c r="C328" s="113">
        <v>44166</v>
      </c>
      <c r="D328" s="75">
        <v>131.66867001362857</v>
      </c>
      <c r="E328" s="76">
        <v>123.7487500128088</v>
      </c>
      <c r="F328" s="77">
        <v>182.25207</v>
      </c>
      <c r="G328" s="66">
        <v>127.449</v>
      </c>
    </row>
    <row r="329" spans="1:8" x14ac:dyDescent="0.25">
      <c r="A329" s="98">
        <v>44044</v>
      </c>
      <c r="B329" s="106"/>
      <c r="C329" s="110">
        <v>44136</v>
      </c>
      <c r="D329" s="71">
        <v>131.79478942935043</v>
      </c>
      <c r="E329" s="72">
        <v>123.86728329826167</v>
      </c>
      <c r="F329" s="67">
        <v>181.8057384</v>
      </c>
      <c r="G329" s="66">
        <v>127.13688</v>
      </c>
    </row>
    <row r="330" spans="1:8" x14ac:dyDescent="0.25">
      <c r="A330" s="98">
        <v>44013</v>
      </c>
      <c r="B330" s="106"/>
      <c r="C330" s="110">
        <v>44105</v>
      </c>
      <c r="D330" s="71">
        <v>131.54255059790668</v>
      </c>
      <c r="E330" s="72">
        <v>123.63021672735589</v>
      </c>
      <c r="F330" s="67">
        <v>181.50818399999997</v>
      </c>
      <c r="G330" s="66">
        <v>126.9288</v>
      </c>
    </row>
    <row r="331" spans="1:8" x14ac:dyDescent="0.25">
      <c r="A331" s="98">
        <v>43983</v>
      </c>
      <c r="B331" s="106"/>
      <c r="C331" s="110">
        <v>44075</v>
      </c>
      <c r="D331" s="71">
        <v>131.03807293501924</v>
      </c>
      <c r="E331" s="72">
        <v>123.15608358554439</v>
      </c>
      <c r="F331" s="67">
        <v>181.06185239999999</v>
      </c>
      <c r="G331" s="66">
        <v>126.61668</v>
      </c>
      <c r="H331" s="130"/>
    </row>
    <row r="332" spans="1:8" x14ac:dyDescent="0.25">
      <c r="A332" s="98">
        <v>43952</v>
      </c>
      <c r="B332" s="106"/>
      <c r="C332" s="110">
        <v>44044</v>
      </c>
      <c r="D332" s="71">
        <v>131.66867001362857</v>
      </c>
      <c r="E332" s="72">
        <v>123.7487500128088</v>
      </c>
      <c r="F332" s="67">
        <v>180.61552080000001</v>
      </c>
      <c r="G332" s="66">
        <v>126.30456000000001</v>
      </c>
      <c r="H332" s="130"/>
    </row>
    <row r="333" spans="1:8" x14ac:dyDescent="0.25">
      <c r="A333" s="98">
        <v>43922</v>
      </c>
      <c r="B333" s="106"/>
      <c r="C333" s="110">
        <v>44013</v>
      </c>
      <c r="D333" s="71">
        <v>132.29926709223787</v>
      </c>
      <c r="E333" s="72">
        <v>124.34141644007319</v>
      </c>
      <c r="F333" s="67">
        <v>181.74155999999999</v>
      </c>
      <c r="G333" s="66">
        <v>127.092</v>
      </c>
      <c r="H333" s="130"/>
    </row>
    <row r="334" spans="1:8" x14ac:dyDescent="0.25">
      <c r="A334" s="98">
        <v>43891</v>
      </c>
      <c r="B334" s="106"/>
      <c r="C334" s="110">
        <v>43983</v>
      </c>
      <c r="D334" s="71">
        <v>132.42538650795976</v>
      </c>
      <c r="E334" s="72">
        <v>124.45994972552609</v>
      </c>
      <c r="F334" s="67">
        <v>181.30398</v>
      </c>
      <c r="G334" s="66">
        <v>126.786</v>
      </c>
      <c r="H334" s="130"/>
    </row>
    <row r="335" spans="1:8" x14ac:dyDescent="0.25">
      <c r="A335" s="98">
        <v>43862</v>
      </c>
      <c r="B335" s="106"/>
      <c r="C335" s="110">
        <v>43952</v>
      </c>
      <c r="D335" s="71">
        <v>132.55150592368162</v>
      </c>
      <c r="E335" s="72">
        <v>124.57848301097896</v>
      </c>
      <c r="F335" s="67">
        <v>180.8664</v>
      </c>
      <c r="G335" s="66">
        <v>126.48</v>
      </c>
      <c r="H335" s="130"/>
    </row>
    <row r="336" spans="1:8" x14ac:dyDescent="0.25">
      <c r="A336" s="98">
        <v>43831</v>
      </c>
      <c r="B336" s="106"/>
      <c r="C336" s="110">
        <v>43922</v>
      </c>
      <c r="D336" s="71">
        <v>132.17314767651604</v>
      </c>
      <c r="E336" s="72">
        <v>124.22288315462032</v>
      </c>
      <c r="F336" s="67">
        <v>180.42882</v>
      </c>
      <c r="G336" s="66">
        <v>126.17400000000001</v>
      </c>
      <c r="H336" s="130"/>
    </row>
    <row r="337" spans="1:7" x14ac:dyDescent="0.25">
      <c r="A337" s="98">
        <v>43800</v>
      </c>
      <c r="B337" s="106"/>
      <c r="C337" s="110">
        <v>43891</v>
      </c>
      <c r="D337" s="71">
        <v>131.92090884507229</v>
      </c>
      <c r="E337" s="72">
        <v>123.98581658371455</v>
      </c>
      <c r="F337" s="78">
        <v>179.84538000000001</v>
      </c>
      <c r="G337" s="72">
        <v>125.76600000000001</v>
      </c>
    </row>
    <row r="338" spans="1:7" x14ac:dyDescent="0.25">
      <c r="A338" s="98">
        <v>43770</v>
      </c>
      <c r="B338" s="106"/>
      <c r="C338" s="110">
        <v>43862</v>
      </c>
      <c r="D338" s="71">
        <v>133.30822241801283</v>
      </c>
      <c r="E338" s="72">
        <v>125.28968272369626</v>
      </c>
      <c r="F338" s="78">
        <v>179.40780000000001</v>
      </c>
      <c r="G338" s="72">
        <v>125.46000000000001</v>
      </c>
    </row>
    <row r="339" spans="1:7" x14ac:dyDescent="0.25">
      <c r="A339" s="99">
        <v>43739</v>
      </c>
      <c r="B339" s="107"/>
      <c r="C339" s="111">
        <v>43831</v>
      </c>
      <c r="D339" s="79">
        <v>129.21057787191219</v>
      </c>
      <c r="E339" s="80">
        <v>121.43851303751144</v>
      </c>
      <c r="F339" s="81">
        <v>178.97022000000001</v>
      </c>
      <c r="G339" s="74">
        <v>125.15400000000001</v>
      </c>
    </row>
    <row r="340" spans="1:7" x14ac:dyDescent="0.25">
      <c r="A340" s="100">
        <v>43709</v>
      </c>
      <c r="B340" s="106"/>
      <c r="C340" s="113">
        <v>43800</v>
      </c>
      <c r="D340" s="82">
        <v>129.08693138591036</v>
      </c>
      <c r="E340" s="83">
        <v>121.32230393412627</v>
      </c>
      <c r="F340" s="84">
        <v>178.67849999999999</v>
      </c>
      <c r="G340" s="76">
        <v>124.95</v>
      </c>
    </row>
    <row r="341" spans="1:7" x14ac:dyDescent="0.25">
      <c r="A341" s="98">
        <v>43678</v>
      </c>
      <c r="B341" s="106"/>
      <c r="C341" s="110">
        <v>43770</v>
      </c>
      <c r="D341" s="85">
        <v>129.21057787191219</v>
      </c>
      <c r="E341" s="86">
        <v>121.43851303751144</v>
      </c>
      <c r="F341" s="78">
        <v>178.24091999999999</v>
      </c>
      <c r="G341" s="72">
        <v>124.64400000000001</v>
      </c>
    </row>
    <row r="342" spans="1:7" x14ac:dyDescent="0.25">
      <c r="A342" s="98">
        <v>43647</v>
      </c>
      <c r="B342" s="106"/>
      <c r="C342" s="110">
        <v>43739</v>
      </c>
      <c r="D342" s="85">
        <v>128.9632848999085</v>
      </c>
      <c r="E342" s="86">
        <v>121.20609483074107</v>
      </c>
      <c r="F342" s="78">
        <v>177.94919999999999</v>
      </c>
      <c r="G342" s="72">
        <v>124.44</v>
      </c>
    </row>
    <row r="343" spans="1:7" x14ac:dyDescent="0.25">
      <c r="A343" s="98">
        <v>43617</v>
      </c>
      <c r="B343" s="106"/>
      <c r="C343" s="110">
        <v>43709</v>
      </c>
      <c r="D343" s="85">
        <v>128.4686989559012</v>
      </c>
      <c r="E343" s="86">
        <v>120.74125841720038</v>
      </c>
      <c r="F343" s="78">
        <v>177.51161999999999</v>
      </c>
      <c r="G343" s="72">
        <v>124.134</v>
      </c>
    </row>
    <row r="344" spans="1:7" x14ac:dyDescent="0.25">
      <c r="A344" s="98">
        <v>43586</v>
      </c>
      <c r="B344" s="106"/>
      <c r="C344" s="110">
        <v>43678</v>
      </c>
      <c r="D344" s="85">
        <v>129.08693138591036</v>
      </c>
      <c r="E344" s="86">
        <v>121.32230393412627</v>
      </c>
      <c r="F344" s="78">
        <v>177.07404</v>
      </c>
      <c r="G344" s="72">
        <v>123.828</v>
      </c>
    </row>
    <row r="345" spans="1:7" x14ac:dyDescent="0.25">
      <c r="A345" s="98">
        <v>43556</v>
      </c>
      <c r="B345" s="106"/>
      <c r="C345" s="110">
        <v>43647</v>
      </c>
      <c r="D345" s="85">
        <v>129.70516381591949</v>
      </c>
      <c r="E345" s="86">
        <v>121.90334945105215</v>
      </c>
      <c r="F345" s="87">
        <v>178.178</v>
      </c>
      <c r="G345" s="86">
        <v>124.6</v>
      </c>
    </row>
    <row r="346" spans="1:7" x14ac:dyDescent="0.25">
      <c r="A346" s="98">
        <v>43525</v>
      </c>
      <c r="B346" s="106"/>
      <c r="C346" s="110">
        <v>43617</v>
      </c>
      <c r="D346" s="85">
        <v>129.82881030192132</v>
      </c>
      <c r="E346" s="86">
        <v>122.01955855443734</v>
      </c>
      <c r="F346" s="87">
        <v>177.749</v>
      </c>
      <c r="G346" s="86">
        <v>124.3</v>
      </c>
    </row>
    <row r="347" spans="1:7" x14ac:dyDescent="0.25">
      <c r="A347" s="98">
        <v>43497</v>
      </c>
      <c r="B347" s="106"/>
      <c r="C347" s="110">
        <v>43586</v>
      </c>
      <c r="D347" s="85">
        <v>129.95245678792315</v>
      </c>
      <c r="E347" s="86">
        <v>122.1357676578225</v>
      </c>
      <c r="F347" s="87">
        <v>177.32</v>
      </c>
      <c r="G347" s="86">
        <v>124</v>
      </c>
    </row>
    <row r="348" spans="1:7" x14ac:dyDescent="0.25">
      <c r="A348" s="98">
        <v>43466</v>
      </c>
      <c r="B348" s="106"/>
      <c r="C348" s="110">
        <v>43556</v>
      </c>
      <c r="D348" s="85">
        <v>129.58151732991766</v>
      </c>
      <c r="E348" s="86">
        <v>121.78714034766698</v>
      </c>
      <c r="F348" s="87">
        <v>176.89099999999999</v>
      </c>
      <c r="G348" s="86">
        <v>123.7</v>
      </c>
    </row>
    <row r="349" spans="1:7" x14ac:dyDescent="0.25">
      <c r="A349" s="98">
        <v>43435</v>
      </c>
      <c r="B349" s="106"/>
      <c r="C349" s="110">
        <v>43525</v>
      </c>
      <c r="D349" s="85">
        <v>129.334224357914</v>
      </c>
      <c r="E349" s="86">
        <v>121.55472214089662</v>
      </c>
      <c r="F349" s="87">
        <v>176.31899999999999</v>
      </c>
      <c r="G349" s="86">
        <v>123.3</v>
      </c>
    </row>
    <row r="350" spans="1:7" x14ac:dyDescent="0.25">
      <c r="A350" s="98">
        <v>43405</v>
      </c>
      <c r="B350" s="106"/>
      <c r="C350" s="110">
        <v>43497</v>
      </c>
      <c r="D350" s="85">
        <v>130.69433570393414</v>
      </c>
      <c r="E350" s="86">
        <v>122.83302227813358</v>
      </c>
      <c r="F350" s="87">
        <v>175.89</v>
      </c>
      <c r="G350" s="86">
        <v>123</v>
      </c>
    </row>
    <row r="351" spans="1:7" x14ac:dyDescent="0.25">
      <c r="A351" s="99">
        <v>43374</v>
      </c>
      <c r="B351" s="107"/>
      <c r="C351" s="111">
        <v>43466</v>
      </c>
      <c r="D351" s="79">
        <v>130.94162867593778</v>
      </c>
      <c r="E351" s="80">
        <v>123.06544048490393</v>
      </c>
      <c r="F351" s="88">
        <v>175.46099999999998</v>
      </c>
      <c r="G351" s="80">
        <v>122.7</v>
      </c>
    </row>
    <row r="352" spans="1:7" x14ac:dyDescent="0.25">
      <c r="A352" s="100">
        <v>43344</v>
      </c>
      <c r="B352" s="106"/>
      <c r="C352" s="113">
        <v>43435</v>
      </c>
      <c r="D352" s="82">
        <v>130.57068921793231</v>
      </c>
      <c r="E352" s="83">
        <v>122.7168131747484</v>
      </c>
      <c r="F352" s="89">
        <v>175.17499999999998</v>
      </c>
      <c r="G352" s="83">
        <v>122.5</v>
      </c>
    </row>
    <row r="353" spans="1:7" x14ac:dyDescent="0.25">
      <c r="A353" s="98">
        <v>43313</v>
      </c>
      <c r="B353" s="106"/>
      <c r="C353" s="110">
        <v>43405</v>
      </c>
      <c r="D353" s="85">
        <v>129.95245678792315</v>
      </c>
      <c r="E353" s="86">
        <v>122.1357676578225</v>
      </c>
      <c r="F353" s="87">
        <v>174.74600000000001</v>
      </c>
      <c r="G353" s="86">
        <v>122.2</v>
      </c>
    </row>
    <row r="354" spans="1:7" x14ac:dyDescent="0.25">
      <c r="A354" s="98">
        <v>43282</v>
      </c>
      <c r="B354" s="106"/>
      <c r="C354" s="110">
        <v>43374</v>
      </c>
      <c r="D354" s="85">
        <v>129.45787084391583</v>
      </c>
      <c r="E354" s="86">
        <v>121.67093124428179</v>
      </c>
      <c r="F354" s="87">
        <v>174.45999999999998</v>
      </c>
      <c r="G354" s="86">
        <v>122</v>
      </c>
    </row>
    <row r="355" spans="1:7" x14ac:dyDescent="0.25">
      <c r="A355" s="98">
        <v>43252</v>
      </c>
      <c r="B355" s="106"/>
      <c r="C355" s="110">
        <v>43344</v>
      </c>
      <c r="D355" s="85">
        <v>128.4686989559012</v>
      </c>
      <c r="E355" s="86">
        <v>120.74125841720038</v>
      </c>
      <c r="F355" s="87">
        <v>174.03100000000001</v>
      </c>
      <c r="G355" s="86">
        <v>121.7</v>
      </c>
    </row>
    <row r="356" spans="1:7" x14ac:dyDescent="0.25">
      <c r="A356" s="98">
        <v>43221</v>
      </c>
      <c r="B356" s="106"/>
      <c r="C356" s="110">
        <v>43313</v>
      </c>
      <c r="D356" s="85">
        <v>127.97411301189388</v>
      </c>
      <c r="E356" s="86">
        <v>120.27642200365965</v>
      </c>
      <c r="F356" s="87">
        <v>173.602</v>
      </c>
      <c r="G356" s="86">
        <v>121.4</v>
      </c>
    </row>
    <row r="357" spans="1:7" x14ac:dyDescent="0.25">
      <c r="A357" s="98">
        <v>43191</v>
      </c>
      <c r="B357" s="106"/>
      <c r="C357" s="110">
        <v>43282</v>
      </c>
      <c r="D357" s="85">
        <v>127.10858760988106</v>
      </c>
      <c r="E357" s="86">
        <v>119.46295827996339</v>
      </c>
      <c r="F357" s="87">
        <v>173.03</v>
      </c>
      <c r="G357" s="86">
        <v>121</v>
      </c>
    </row>
    <row r="358" spans="1:7" x14ac:dyDescent="0.25">
      <c r="A358" s="98">
        <v>43160</v>
      </c>
      <c r="B358" s="106"/>
      <c r="C358" s="110">
        <v>43252</v>
      </c>
      <c r="D358" s="85">
        <v>127.60317355388838</v>
      </c>
      <c r="E358" s="86">
        <v>119.92779469350411</v>
      </c>
      <c r="F358" s="87">
        <v>172.744</v>
      </c>
      <c r="G358" s="86">
        <v>120.8</v>
      </c>
    </row>
    <row r="359" spans="1:7" x14ac:dyDescent="0.25">
      <c r="A359" s="98">
        <v>43132</v>
      </c>
      <c r="B359" s="106"/>
      <c r="C359" s="110">
        <v>43221</v>
      </c>
      <c r="D359" s="85">
        <v>126.98494112387922</v>
      </c>
      <c r="E359" s="86">
        <v>119.34674917657821</v>
      </c>
      <c r="F359" s="87">
        <v>172.315</v>
      </c>
      <c r="G359" s="86">
        <v>120.5</v>
      </c>
    </row>
    <row r="360" spans="1:7" x14ac:dyDescent="0.25">
      <c r="A360" s="98">
        <v>43101</v>
      </c>
      <c r="B360" s="106"/>
      <c r="C360" s="110">
        <v>43191</v>
      </c>
      <c r="D360" s="85">
        <v>126.61400166587374</v>
      </c>
      <c r="E360" s="86">
        <v>118.99812186642268</v>
      </c>
      <c r="F360" s="87">
        <v>171.886</v>
      </c>
      <c r="G360" s="86">
        <v>120.2</v>
      </c>
    </row>
    <row r="361" spans="1:7" x14ac:dyDescent="0.25">
      <c r="A361" s="98">
        <v>43070</v>
      </c>
      <c r="B361" s="106"/>
      <c r="C361" s="110">
        <v>43160</v>
      </c>
      <c r="D361" s="85">
        <v>126.24306220786825</v>
      </c>
      <c r="E361" s="86">
        <v>118.64949455626714</v>
      </c>
      <c r="F361" s="87">
        <v>171.6</v>
      </c>
      <c r="G361" s="86">
        <v>120</v>
      </c>
    </row>
    <row r="362" spans="1:7" x14ac:dyDescent="0.25">
      <c r="A362" s="98">
        <v>43040</v>
      </c>
      <c r="B362" s="106"/>
      <c r="C362" s="110">
        <v>43132</v>
      </c>
      <c r="D362" s="85">
        <v>126.11941572186642</v>
      </c>
      <c r="E362" s="86">
        <v>118.53328545288197</v>
      </c>
      <c r="F362" s="87">
        <v>171.45699999999999</v>
      </c>
      <c r="G362" s="86">
        <v>119.9</v>
      </c>
    </row>
    <row r="363" spans="1:7" x14ac:dyDescent="0.25">
      <c r="A363" s="99">
        <v>43009</v>
      </c>
      <c r="B363" s="107"/>
      <c r="C363" s="111">
        <v>43101</v>
      </c>
      <c r="D363" s="79">
        <v>124.88295086184813</v>
      </c>
      <c r="E363" s="80">
        <v>117.37119441903019</v>
      </c>
      <c r="F363" s="88">
        <v>171.17099999999999</v>
      </c>
      <c r="G363" s="80">
        <v>119.7</v>
      </c>
    </row>
    <row r="364" spans="1:7" x14ac:dyDescent="0.25">
      <c r="A364" s="100">
        <v>42979</v>
      </c>
      <c r="B364" s="106"/>
      <c r="C364" s="113">
        <v>43070</v>
      </c>
      <c r="D364" s="82">
        <v>124.47242451967064</v>
      </c>
      <c r="E364" s="83">
        <v>116.98536139066789</v>
      </c>
      <c r="F364" s="89">
        <v>170.88499999999999</v>
      </c>
      <c r="G364" s="83">
        <v>119.5</v>
      </c>
    </row>
    <row r="365" spans="1:7" x14ac:dyDescent="0.25">
      <c r="A365" s="98">
        <v>42948</v>
      </c>
      <c r="B365" s="106"/>
      <c r="C365" s="110">
        <v>43040</v>
      </c>
      <c r="D365" s="85">
        <v>124.00710704483075</v>
      </c>
      <c r="E365" s="86">
        <v>116.548032936871</v>
      </c>
      <c r="F365" s="87">
        <v>170.59899999999999</v>
      </c>
      <c r="G365" s="86">
        <v>119.3</v>
      </c>
    </row>
    <row r="366" spans="1:7" x14ac:dyDescent="0.25">
      <c r="A366" s="98">
        <v>42917</v>
      </c>
      <c r="B366" s="106"/>
      <c r="C366" s="110">
        <v>43009</v>
      </c>
      <c r="D366" s="85">
        <v>123.54178956999085</v>
      </c>
      <c r="E366" s="86">
        <v>116.1107044830741</v>
      </c>
      <c r="F366" s="87">
        <v>170.31299999999999</v>
      </c>
      <c r="G366" s="86">
        <v>119.1</v>
      </c>
    </row>
    <row r="367" spans="1:7" x14ac:dyDescent="0.25">
      <c r="A367" s="98">
        <v>42887</v>
      </c>
      <c r="B367" s="106"/>
      <c r="C367" s="110">
        <v>42979</v>
      </c>
      <c r="D367" s="85">
        <v>123.54178956999085</v>
      </c>
      <c r="E367" s="86">
        <v>116.1107044830741</v>
      </c>
      <c r="F367" s="87">
        <v>170.17</v>
      </c>
      <c r="G367" s="86">
        <v>119</v>
      </c>
    </row>
    <row r="368" spans="1:7" x14ac:dyDescent="0.25">
      <c r="A368" s="98">
        <v>42856</v>
      </c>
      <c r="B368" s="106"/>
      <c r="C368" s="110">
        <v>42948</v>
      </c>
      <c r="D368" s="85">
        <v>123.77444830741082</v>
      </c>
      <c r="E368" s="86">
        <v>116.32936870997257</v>
      </c>
      <c r="F368" s="87">
        <v>169.88399999999999</v>
      </c>
      <c r="G368" s="86">
        <v>118.8</v>
      </c>
    </row>
    <row r="369" spans="1:7" x14ac:dyDescent="0.25">
      <c r="A369" s="98">
        <v>42826</v>
      </c>
      <c r="B369" s="106"/>
      <c r="C369" s="110">
        <v>42917</v>
      </c>
      <c r="D369" s="85">
        <v>124.35609515096068</v>
      </c>
      <c r="E369" s="86">
        <v>116.87602927721868</v>
      </c>
      <c r="F369" s="87">
        <v>169.74099999999999</v>
      </c>
      <c r="G369" s="86">
        <v>118.7</v>
      </c>
    </row>
    <row r="370" spans="1:7" x14ac:dyDescent="0.25">
      <c r="A370" s="98">
        <v>42795</v>
      </c>
      <c r="B370" s="106"/>
      <c r="C370" s="110">
        <v>42887</v>
      </c>
      <c r="D370" s="85">
        <v>124.47242451967064</v>
      </c>
      <c r="E370" s="86">
        <v>116.98536139066789</v>
      </c>
      <c r="F370" s="87">
        <v>169.59799999999998</v>
      </c>
      <c r="G370" s="86">
        <v>118.6</v>
      </c>
    </row>
    <row r="371" spans="1:7" x14ac:dyDescent="0.25">
      <c r="A371" s="98">
        <v>42767</v>
      </c>
      <c r="B371" s="106"/>
      <c r="C371" s="110">
        <v>42856</v>
      </c>
      <c r="D371" s="85">
        <v>124.93774199451053</v>
      </c>
      <c r="E371" s="86">
        <v>117.42268984446478</v>
      </c>
      <c r="F371" s="87">
        <v>169.45499999999998</v>
      </c>
      <c r="G371" s="86">
        <v>118.5</v>
      </c>
    </row>
    <row r="372" spans="1:7" x14ac:dyDescent="0.25">
      <c r="A372" s="98">
        <v>42736</v>
      </c>
      <c r="B372" s="106"/>
      <c r="C372" s="110">
        <v>42826</v>
      </c>
      <c r="D372" s="85">
        <v>125.63571820677038</v>
      </c>
      <c r="E372" s="86">
        <v>118.07868252516012</v>
      </c>
      <c r="F372" s="87">
        <v>169.45499999999998</v>
      </c>
      <c r="G372" s="86">
        <v>118.5</v>
      </c>
    </row>
    <row r="373" spans="1:7" x14ac:dyDescent="0.25">
      <c r="A373" s="98">
        <v>42705</v>
      </c>
      <c r="B373" s="106"/>
      <c r="C373" s="110">
        <v>42795</v>
      </c>
      <c r="D373" s="85">
        <v>124.35609515096068</v>
      </c>
      <c r="E373" s="86">
        <v>116.87602927721868</v>
      </c>
      <c r="F373" s="87">
        <v>169.31200000000001</v>
      </c>
      <c r="G373" s="86">
        <v>118.4</v>
      </c>
    </row>
    <row r="374" spans="1:7" x14ac:dyDescent="0.25">
      <c r="A374" s="98">
        <v>42675</v>
      </c>
      <c r="B374" s="106"/>
      <c r="C374" s="110">
        <v>42767</v>
      </c>
      <c r="D374" s="85">
        <v>123.42546020128087</v>
      </c>
      <c r="E374" s="86">
        <v>116.00137236962487</v>
      </c>
      <c r="F374" s="87">
        <v>169.16899999999998</v>
      </c>
      <c r="G374" s="86">
        <v>118.3</v>
      </c>
    </row>
    <row r="375" spans="1:7" x14ac:dyDescent="0.25">
      <c r="A375" s="99">
        <v>42644</v>
      </c>
      <c r="B375" s="107"/>
      <c r="C375" s="111">
        <v>42736</v>
      </c>
      <c r="D375" s="79">
        <v>123.07647209515098</v>
      </c>
      <c r="E375" s="80">
        <v>115.67337602927722</v>
      </c>
      <c r="F375" s="88">
        <v>168.88299999999998</v>
      </c>
      <c r="G375" s="80">
        <v>118.1</v>
      </c>
    </row>
    <row r="376" spans="1:7" x14ac:dyDescent="0.25">
      <c r="A376" s="100">
        <v>42614</v>
      </c>
      <c r="B376" s="106"/>
      <c r="C376" s="113">
        <v>42705</v>
      </c>
      <c r="D376" s="82">
        <v>122.14583714547119</v>
      </c>
      <c r="E376" s="83">
        <v>114.79871912168345</v>
      </c>
      <c r="F376" s="89">
        <v>168.73999999999998</v>
      </c>
      <c r="G376" s="83">
        <v>118</v>
      </c>
    </row>
    <row r="377" spans="1:7" x14ac:dyDescent="0.25">
      <c r="A377" s="98">
        <v>42583</v>
      </c>
      <c r="B377" s="106"/>
      <c r="C377" s="110">
        <v>42675</v>
      </c>
      <c r="D377" s="85">
        <v>121.68051967063128</v>
      </c>
      <c r="E377" s="86">
        <v>114.36139066788654</v>
      </c>
      <c r="F377" s="87">
        <v>168.59700000000001</v>
      </c>
      <c r="G377" s="86">
        <v>117.9</v>
      </c>
    </row>
    <row r="378" spans="1:7" x14ac:dyDescent="0.25">
      <c r="A378" s="98">
        <v>42552</v>
      </c>
      <c r="B378" s="106"/>
      <c r="C378" s="110">
        <v>42644</v>
      </c>
      <c r="D378" s="85">
        <v>121.79684903934127</v>
      </c>
      <c r="E378" s="86">
        <v>114.47072278133577</v>
      </c>
      <c r="F378" s="87">
        <v>168.31100000000001</v>
      </c>
      <c r="G378" s="86">
        <v>117.7</v>
      </c>
    </row>
    <row r="379" spans="1:7" x14ac:dyDescent="0.25">
      <c r="A379" s="98">
        <v>42522</v>
      </c>
      <c r="B379" s="106"/>
      <c r="C379" s="110">
        <v>42614</v>
      </c>
      <c r="D379" s="85">
        <v>121.68051967063128</v>
      </c>
      <c r="E379" s="86">
        <v>114.36139066788654</v>
      </c>
      <c r="F379" s="87">
        <v>168.02500000000001</v>
      </c>
      <c r="G379" s="86">
        <v>117.5</v>
      </c>
    </row>
    <row r="380" spans="1:7" x14ac:dyDescent="0.25">
      <c r="A380" s="98">
        <v>42491</v>
      </c>
      <c r="B380" s="106"/>
      <c r="C380" s="110">
        <v>42583</v>
      </c>
      <c r="D380" s="85">
        <v>120.74988472095153</v>
      </c>
      <c r="E380" s="86">
        <v>113.48673376029278</v>
      </c>
      <c r="F380" s="87">
        <v>167.73899999999998</v>
      </c>
      <c r="G380" s="86">
        <v>117.3</v>
      </c>
    </row>
    <row r="381" spans="1:7" x14ac:dyDescent="0.25">
      <c r="A381" s="98">
        <v>42461</v>
      </c>
      <c r="B381" s="106"/>
      <c r="C381" s="110">
        <v>42552</v>
      </c>
      <c r="D381" s="85">
        <v>120.28456724611165</v>
      </c>
      <c r="E381" s="86">
        <v>113.0494053064959</v>
      </c>
      <c r="F381" s="87">
        <v>167.45299999999997</v>
      </c>
      <c r="G381" s="86">
        <v>117.1</v>
      </c>
    </row>
    <row r="382" spans="1:7" x14ac:dyDescent="0.25">
      <c r="A382" s="98">
        <v>42430</v>
      </c>
      <c r="B382" s="106"/>
      <c r="C382" s="110">
        <v>42522</v>
      </c>
      <c r="D382" s="85">
        <v>120.8662140896615</v>
      </c>
      <c r="E382" s="86">
        <v>113.59606587374201</v>
      </c>
      <c r="F382" s="87">
        <v>167.024</v>
      </c>
      <c r="G382" s="86">
        <v>116.8</v>
      </c>
    </row>
    <row r="383" spans="1:7" x14ac:dyDescent="0.25">
      <c r="A383" s="98">
        <v>42401</v>
      </c>
      <c r="B383" s="106"/>
      <c r="C383" s="110">
        <v>42491</v>
      </c>
      <c r="D383" s="85">
        <v>120.4008966148216</v>
      </c>
      <c r="E383" s="86">
        <v>113.15873741994511</v>
      </c>
      <c r="F383" s="87">
        <v>166.73799999999997</v>
      </c>
      <c r="G383" s="86">
        <v>116.6</v>
      </c>
    </row>
    <row r="384" spans="1:7" x14ac:dyDescent="0.25">
      <c r="A384" s="98">
        <v>42370</v>
      </c>
      <c r="B384" s="106"/>
      <c r="C384" s="110">
        <v>42461</v>
      </c>
      <c r="D384" s="85">
        <v>120.98254345837147</v>
      </c>
      <c r="E384" s="86">
        <v>113.70539798719122</v>
      </c>
      <c r="F384" s="87">
        <v>166.309</v>
      </c>
      <c r="G384" s="86">
        <v>116.3</v>
      </c>
    </row>
    <row r="385" spans="1:7" x14ac:dyDescent="0.25">
      <c r="A385" s="98">
        <v>42339</v>
      </c>
      <c r="B385" s="106"/>
      <c r="C385" s="110">
        <v>42430</v>
      </c>
      <c r="D385" s="85">
        <v>121.44786093321136</v>
      </c>
      <c r="E385" s="86">
        <v>114.14272644098811</v>
      </c>
      <c r="F385" s="87">
        <v>166.166</v>
      </c>
      <c r="G385" s="86">
        <v>116.2</v>
      </c>
    </row>
    <row r="386" spans="1:7" x14ac:dyDescent="0.25">
      <c r="A386" s="98">
        <v>42309</v>
      </c>
      <c r="B386" s="106"/>
      <c r="C386" s="110">
        <v>42401</v>
      </c>
      <c r="D386" s="85">
        <v>122.84381335773101</v>
      </c>
      <c r="E386" s="86">
        <v>115.45471180237877</v>
      </c>
      <c r="F386" s="87">
        <v>165.88</v>
      </c>
      <c r="G386" s="86">
        <v>116</v>
      </c>
    </row>
    <row r="387" spans="1:7" x14ac:dyDescent="0.25">
      <c r="A387" s="99">
        <v>42278</v>
      </c>
      <c r="B387" s="107"/>
      <c r="C387" s="111">
        <v>42370</v>
      </c>
      <c r="D387" s="79">
        <v>123.30913083257092</v>
      </c>
      <c r="E387" s="80">
        <v>115.89204025617566</v>
      </c>
      <c r="F387" s="88">
        <v>165.59399999999999</v>
      </c>
      <c r="G387" s="80">
        <v>115.8</v>
      </c>
    </row>
    <row r="388" spans="1:7" x14ac:dyDescent="0.25">
      <c r="A388" s="100">
        <v>42248</v>
      </c>
      <c r="B388" s="106"/>
      <c r="C388" s="113">
        <v>42339</v>
      </c>
      <c r="D388" s="82">
        <v>123.07647209515098</v>
      </c>
      <c r="E388" s="83">
        <v>115.67337602927722</v>
      </c>
      <c r="F388" s="89">
        <v>165.45099999999999</v>
      </c>
      <c r="G388" s="83">
        <v>115.7</v>
      </c>
    </row>
    <row r="389" spans="1:7" x14ac:dyDescent="0.25">
      <c r="A389" s="98">
        <v>42217</v>
      </c>
      <c r="B389" s="106"/>
      <c r="C389" s="110">
        <v>42309</v>
      </c>
      <c r="D389" s="85">
        <v>123.07647209515098</v>
      </c>
      <c r="E389" s="86">
        <v>115.67337602927722</v>
      </c>
      <c r="F389" s="87">
        <v>165.30799999999999</v>
      </c>
      <c r="G389" s="86">
        <v>115.6</v>
      </c>
    </row>
    <row r="390" spans="1:7" x14ac:dyDescent="0.25">
      <c r="A390" s="98">
        <v>42186</v>
      </c>
      <c r="B390" s="106"/>
      <c r="C390" s="110">
        <v>42278</v>
      </c>
      <c r="D390" s="85">
        <v>124.35609515096068</v>
      </c>
      <c r="E390" s="86">
        <v>116.87602927721868</v>
      </c>
      <c r="F390" s="87">
        <v>165.16499999999999</v>
      </c>
      <c r="G390" s="86">
        <v>115.5</v>
      </c>
    </row>
    <row r="391" spans="1:7" x14ac:dyDescent="0.25">
      <c r="A391" s="98">
        <v>42156</v>
      </c>
      <c r="B391" s="106"/>
      <c r="C391" s="110">
        <v>42248</v>
      </c>
      <c r="D391" s="85">
        <v>124.35609515096068</v>
      </c>
      <c r="E391" s="86">
        <v>116.87602927721868</v>
      </c>
      <c r="F391" s="87">
        <v>165.02199999999999</v>
      </c>
      <c r="G391" s="86">
        <v>115.4</v>
      </c>
    </row>
    <row r="392" spans="1:7" x14ac:dyDescent="0.25">
      <c r="A392" s="98">
        <v>42125</v>
      </c>
      <c r="B392" s="106"/>
      <c r="C392" s="110">
        <v>42217</v>
      </c>
      <c r="D392" s="85">
        <v>124.00710704483075</v>
      </c>
      <c r="E392" s="86">
        <v>116.548032936871</v>
      </c>
      <c r="F392" s="87">
        <v>164.73599999999999</v>
      </c>
      <c r="G392" s="86">
        <v>115.2</v>
      </c>
    </row>
    <row r="393" spans="1:7" x14ac:dyDescent="0.25">
      <c r="A393" s="98">
        <v>42095</v>
      </c>
      <c r="B393" s="106"/>
      <c r="C393" s="110">
        <v>42186</v>
      </c>
      <c r="D393" s="85">
        <v>124.70508325709058</v>
      </c>
      <c r="E393" s="86">
        <v>117.20402561756633</v>
      </c>
      <c r="F393" s="87">
        <v>164.59299999999999</v>
      </c>
      <c r="G393" s="86">
        <v>115.1</v>
      </c>
    </row>
    <row r="394" spans="1:7" x14ac:dyDescent="0.25">
      <c r="A394" s="98">
        <v>42064</v>
      </c>
      <c r="B394" s="106"/>
      <c r="C394" s="110">
        <v>42156</v>
      </c>
      <c r="D394" s="85">
        <v>124.58875388838061</v>
      </c>
      <c r="E394" s="86">
        <v>117.0946935041171</v>
      </c>
      <c r="F394" s="87">
        <v>164.30699999999999</v>
      </c>
      <c r="G394" s="86">
        <v>114.9</v>
      </c>
    </row>
    <row r="395" spans="1:7" x14ac:dyDescent="0.25">
      <c r="A395" s="98">
        <v>42036</v>
      </c>
      <c r="B395" s="106"/>
      <c r="C395" s="110">
        <v>42125</v>
      </c>
      <c r="D395" s="85">
        <v>124.47242451967064</v>
      </c>
      <c r="E395" s="86">
        <v>116.98536139066789</v>
      </c>
      <c r="F395" s="87">
        <v>163.87799999999999</v>
      </c>
      <c r="G395" s="86">
        <v>114.6</v>
      </c>
    </row>
    <row r="396" spans="1:7" x14ac:dyDescent="0.25">
      <c r="A396" s="98">
        <v>42005</v>
      </c>
      <c r="B396" s="106"/>
      <c r="C396" s="110">
        <v>42095</v>
      </c>
      <c r="D396" s="85">
        <v>123.19280146386095</v>
      </c>
      <c r="E396" s="86">
        <v>115.78270814272645</v>
      </c>
      <c r="F396" s="87">
        <v>163.44899999999998</v>
      </c>
      <c r="G396" s="86">
        <v>114.3</v>
      </c>
    </row>
    <row r="397" spans="1:7" x14ac:dyDescent="0.25">
      <c r="A397" s="98">
        <v>41974</v>
      </c>
      <c r="B397" s="106"/>
      <c r="C397" s="110">
        <v>42064</v>
      </c>
      <c r="D397" s="85">
        <v>123.89077767612078</v>
      </c>
      <c r="E397" s="86">
        <v>116.43870082342178</v>
      </c>
      <c r="F397" s="87">
        <v>163.30599999999998</v>
      </c>
      <c r="G397" s="86">
        <v>114.2</v>
      </c>
    </row>
    <row r="398" spans="1:7" x14ac:dyDescent="0.25">
      <c r="A398" s="98">
        <v>41944</v>
      </c>
      <c r="B398" s="106"/>
      <c r="C398" s="110">
        <v>42036</v>
      </c>
      <c r="D398" s="85">
        <v>125.0540713632205</v>
      </c>
      <c r="E398" s="86">
        <v>117.532021957914</v>
      </c>
      <c r="F398" s="87">
        <v>163.16299999999998</v>
      </c>
      <c r="G398" s="86">
        <v>114.1</v>
      </c>
    </row>
    <row r="399" spans="1:7" x14ac:dyDescent="0.25">
      <c r="A399" s="99">
        <v>41913</v>
      </c>
      <c r="B399" s="107"/>
      <c r="C399" s="111">
        <v>42005</v>
      </c>
      <c r="D399" s="79">
        <v>126.21736505032023</v>
      </c>
      <c r="E399" s="80">
        <v>118.62534309240623</v>
      </c>
      <c r="F399" s="88">
        <v>162.87700000000001</v>
      </c>
      <c r="G399" s="80">
        <v>113.9</v>
      </c>
    </row>
    <row r="400" spans="1:7" x14ac:dyDescent="0.25">
      <c r="A400" s="100">
        <v>41883</v>
      </c>
      <c r="B400" s="106"/>
      <c r="C400" s="113">
        <v>41974</v>
      </c>
      <c r="D400" s="82">
        <v>125.86837694419032</v>
      </c>
      <c r="E400" s="83">
        <v>118.29734675205856</v>
      </c>
      <c r="F400" s="89">
        <v>162.73399999999998</v>
      </c>
      <c r="G400" s="83">
        <v>113.8</v>
      </c>
    </row>
    <row r="401" spans="1:7" x14ac:dyDescent="0.25">
      <c r="A401" s="98">
        <v>41852</v>
      </c>
      <c r="B401" s="106"/>
      <c r="C401" s="110">
        <v>41944</v>
      </c>
      <c r="D401" s="85">
        <v>124.93774199451053</v>
      </c>
      <c r="E401" s="86">
        <v>117.42268984446478</v>
      </c>
      <c r="F401" s="87">
        <v>162.73399999999998</v>
      </c>
      <c r="G401" s="86">
        <v>113.8</v>
      </c>
    </row>
    <row r="402" spans="1:7" x14ac:dyDescent="0.25">
      <c r="A402" s="98">
        <v>41821</v>
      </c>
      <c r="B402" s="106"/>
      <c r="C402" s="110">
        <v>41913</v>
      </c>
      <c r="D402" s="85">
        <v>125.40305946935044</v>
      </c>
      <c r="E402" s="86">
        <v>117.86001829826168</v>
      </c>
      <c r="F402" s="87">
        <v>162.59100000000001</v>
      </c>
      <c r="G402" s="86">
        <v>113.7</v>
      </c>
    </row>
    <row r="403" spans="1:7" x14ac:dyDescent="0.25">
      <c r="A403" s="98">
        <v>41791</v>
      </c>
      <c r="B403" s="106"/>
      <c r="C403" s="110">
        <v>41883</v>
      </c>
      <c r="D403" s="85">
        <v>125.75204757548033</v>
      </c>
      <c r="E403" s="86">
        <v>118.18801463860933</v>
      </c>
      <c r="F403" s="87">
        <v>162.30500000000001</v>
      </c>
      <c r="G403" s="86">
        <v>113.5</v>
      </c>
    </row>
    <row r="404" spans="1:7" x14ac:dyDescent="0.25">
      <c r="A404" s="98">
        <v>41760</v>
      </c>
      <c r="B404" s="106"/>
      <c r="C404" s="110">
        <v>41852</v>
      </c>
      <c r="D404" s="85">
        <v>125.63571820677038</v>
      </c>
      <c r="E404" s="86">
        <v>118.07868252516012</v>
      </c>
      <c r="F404" s="87">
        <v>162.16200000000001</v>
      </c>
      <c r="G404" s="86">
        <v>113.4</v>
      </c>
    </row>
    <row r="405" spans="1:7" x14ac:dyDescent="0.25">
      <c r="A405" s="98">
        <v>41730</v>
      </c>
      <c r="B405" s="106"/>
      <c r="C405" s="110">
        <v>41821</v>
      </c>
      <c r="D405" s="85">
        <v>126.33369441903019</v>
      </c>
      <c r="E405" s="86">
        <v>118.73467520585544</v>
      </c>
      <c r="F405" s="87">
        <v>162.16200000000001</v>
      </c>
      <c r="G405" s="86">
        <v>113.4</v>
      </c>
    </row>
    <row r="406" spans="1:7" x14ac:dyDescent="0.25">
      <c r="A406" s="98">
        <v>41699</v>
      </c>
      <c r="B406" s="106"/>
      <c r="C406" s="110">
        <v>41791</v>
      </c>
      <c r="D406" s="85">
        <v>126.45002378774016</v>
      </c>
      <c r="E406" s="86">
        <v>118.84400731930467</v>
      </c>
      <c r="F406" s="87">
        <v>161.876</v>
      </c>
      <c r="G406" s="86">
        <v>113.2</v>
      </c>
    </row>
    <row r="407" spans="1:7" x14ac:dyDescent="0.25">
      <c r="A407" s="98">
        <v>41671</v>
      </c>
      <c r="B407" s="106"/>
      <c r="C407" s="110">
        <v>41760</v>
      </c>
      <c r="D407" s="85">
        <v>126.68268252516013</v>
      </c>
      <c r="E407" s="86">
        <v>119.06267154620312</v>
      </c>
      <c r="F407" s="87">
        <v>161.447</v>
      </c>
      <c r="G407" s="86">
        <v>112.9</v>
      </c>
    </row>
    <row r="408" spans="1:7" x14ac:dyDescent="0.25">
      <c r="A408" s="98">
        <v>41640</v>
      </c>
      <c r="B408" s="106"/>
      <c r="C408" s="110">
        <v>41730</v>
      </c>
      <c r="D408" s="85">
        <v>126.91534126258006</v>
      </c>
      <c r="E408" s="86">
        <v>119.28133577310155</v>
      </c>
      <c r="F408" s="87">
        <v>161.01799999999997</v>
      </c>
      <c r="G408" s="86">
        <v>112.6</v>
      </c>
    </row>
    <row r="409" spans="1:7" x14ac:dyDescent="0.25">
      <c r="A409" s="98">
        <v>41609</v>
      </c>
      <c r="B409" s="106"/>
      <c r="C409" s="110">
        <v>41699</v>
      </c>
      <c r="D409" s="85">
        <v>127.38065873741996</v>
      </c>
      <c r="E409" s="86">
        <v>119.71866422689845</v>
      </c>
      <c r="F409" s="87">
        <v>160.875</v>
      </c>
      <c r="G409" s="86">
        <v>112.5</v>
      </c>
    </row>
    <row r="410" spans="1:7" x14ac:dyDescent="0.25">
      <c r="A410" s="98">
        <v>41579</v>
      </c>
      <c r="B410" s="106"/>
      <c r="C410" s="110">
        <v>41671</v>
      </c>
      <c r="D410" s="85">
        <v>127.26432936870999</v>
      </c>
      <c r="E410" s="86">
        <v>119.60933211344924</v>
      </c>
      <c r="F410" s="87">
        <v>160.732</v>
      </c>
      <c r="G410" s="86">
        <v>112.4</v>
      </c>
    </row>
    <row r="411" spans="1:7" x14ac:dyDescent="0.25">
      <c r="A411" s="99">
        <v>41548</v>
      </c>
      <c r="B411" s="107"/>
      <c r="C411" s="111">
        <v>41640</v>
      </c>
      <c r="D411" s="79">
        <v>127.03167063129003</v>
      </c>
      <c r="E411" s="80">
        <v>119.39066788655077</v>
      </c>
      <c r="F411" s="88">
        <v>160.589</v>
      </c>
      <c r="G411" s="80">
        <v>112.3</v>
      </c>
    </row>
    <row r="412" spans="1:7" x14ac:dyDescent="0.25">
      <c r="A412" s="100">
        <v>41518</v>
      </c>
      <c r="B412" s="106"/>
      <c r="C412" s="113">
        <v>41609</v>
      </c>
      <c r="D412" s="82">
        <v>127.49698810612992</v>
      </c>
      <c r="E412" s="83">
        <v>119.82799634034767</v>
      </c>
      <c r="F412" s="89">
        <v>160.446</v>
      </c>
      <c r="G412" s="83">
        <v>112.2</v>
      </c>
    </row>
    <row r="413" spans="1:7" x14ac:dyDescent="0.25">
      <c r="A413" s="98">
        <v>41487</v>
      </c>
      <c r="B413" s="106"/>
      <c r="C413" s="110">
        <v>41579</v>
      </c>
      <c r="D413" s="85">
        <v>127.14800000000001</v>
      </c>
      <c r="E413" s="86">
        <v>119.5</v>
      </c>
      <c r="F413" s="87">
        <v>160.303</v>
      </c>
      <c r="G413" s="86">
        <v>112.1</v>
      </c>
    </row>
    <row r="414" spans="1:7" x14ac:dyDescent="0.25">
      <c r="A414" s="98">
        <v>41456</v>
      </c>
      <c r="B414" s="106"/>
      <c r="C414" s="110">
        <v>41548</v>
      </c>
      <c r="D414" s="85">
        <v>126.45002378774016</v>
      </c>
      <c r="E414" s="86">
        <v>118.84400731930467</v>
      </c>
      <c r="F414" s="87">
        <v>160.16</v>
      </c>
      <c r="G414" s="86">
        <v>112</v>
      </c>
    </row>
    <row r="415" spans="1:7" x14ac:dyDescent="0.25">
      <c r="A415" s="98">
        <v>41426</v>
      </c>
      <c r="B415" s="106"/>
      <c r="C415" s="110">
        <v>41518</v>
      </c>
      <c r="D415" s="85">
        <v>125.28673010064044</v>
      </c>
      <c r="E415" s="86">
        <v>117.75068618481244</v>
      </c>
      <c r="F415" s="87">
        <v>159.874</v>
      </c>
      <c r="G415" s="86">
        <v>111.8</v>
      </c>
    </row>
    <row r="416" spans="1:7" x14ac:dyDescent="0.25">
      <c r="A416" s="98">
        <v>41395</v>
      </c>
      <c r="B416" s="106"/>
      <c r="C416" s="110">
        <v>41487</v>
      </c>
      <c r="D416" s="85">
        <v>125.63571820677038</v>
      </c>
      <c r="E416" s="86">
        <v>118.07868252516012</v>
      </c>
      <c r="F416" s="87">
        <v>159.73099999999999</v>
      </c>
      <c r="G416" s="86">
        <v>111.7</v>
      </c>
    </row>
    <row r="417" spans="1:7" x14ac:dyDescent="0.25">
      <c r="A417" s="98">
        <v>41365</v>
      </c>
      <c r="B417" s="106"/>
      <c r="C417" s="110">
        <v>41456</v>
      </c>
      <c r="D417" s="85">
        <v>127.26432936870999</v>
      </c>
      <c r="E417" s="86">
        <v>119.60933211344924</v>
      </c>
      <c r="F417" s="87">
        <v>159.44499999999999</v>
      </c>
      <c r="G417" s="86">
        <v>111.5</v>
      </c>
    </row>
    <row r="418" spans="1:7" x14ac:dyDescent="0.25">
      <c r="A418" s="98">
        <v>41334</v>
      </c>
      <c r="B418" s="106"/>
      <c r="C418" s="110">
        <v>41426</v>
      </c>
      <c r="D418" s="85">
        <v>128.77661116193963</v>
      </c>
      <c r="E418" s="86">
        <v>121.03064958828911</v>
      </c>
      <c r="F418" s="87">
        <v>159.44499999999999</v>
      </c>
      <c r="G418" s="86">
        <v>111.5</v>
      </c>
    </row>
    <row r="419" spans="1:7" x14ac:dyDescent="0.25">
      <c r="A419" s="98">
        <v>41306</v>
      </c>
      <c r="B419" s="106"/>
      <c r="C419" s="110">
        <v>41395</v>
      </c>
      <c r="D419" s="85">
        <v>128.77661116193963</v>
      </c>
      <c r="E419" s="86">
        <v>121.03064958828911</v>
      </c>
      <c r="F419" s="87">
        <v>159.44499999999999</v>
      </c>
      <c r="G419" s="86">
        <v>111.5</v>
      </c>
    </row>
    <row r="420" spans="1:7" x14ac:dyDescent="0.25">
      <c r="A420" s="98">
        <v>41275</v>
      </c>
      <c r="B420" s="106"/>
      <c r="C420" s="110">
        <v>41365</v>
      </c>
      <c r="D420" s="85">
        <v>127.96230558096983</v>
      </c>
      <c r="E420" s="86">
        <v>120.26532479414456</v>
      </c>
      <c r="F420" s="87">
        <v>159.58799999999999</v>
      </c>
      <c r="G420" s="86">
        <v>111.6</v>
      </c>
    </row>
    <row r="421" spans="1:7" x14ac:dyDescent="0.25">
      <c r="A421" s="98">
        <v>41244</v>
      </c>
      <c r="B421" s="106"/>
      <c r="C421" s="110">
        <v>41334</v>
      </c>
      <c r="D421" s="85">
        <v>127.14800000000001</v>
      </c>
      <c r="E421" s="86">
        <v>119.5</v>
      </c>
      <c r="F421" s="87">
        <v>159.30199999999999</v>
      </c>
      <c r="G421" s="86">
        <v>111.4</v>
      </c>
    </row>
    <row r="422" spans="1:7" x14ac:dyDescent="0.25">
      <c r="A422" s="98">
        <v>41214</v>
      </c>
      <c r="B422" s="106"/>
      <c r="C422" s="110">
        <v>41306</v>
      </c>
      <c r="D422" s="85">
        <v>127.14800000000001</v>
      </c>
      <c r="E422" s="86">
        <v>119.5</v>
      </c>
      <c r="F422" s="87">
        <v>159.01599999999999</v>
      </c>
      <c r="G422" s="86">
        <v>111.2</v>
      </c>
    </row>
    <row r="423" spans="1:7" x14ac:dyDescent="0.25">
      <c r="A423" s="99">
        <v>41183</v>
      </c>
      <c r="B423" s="107"/>
      <c r="C423" s="111">
        <v>41275</v>
      </c>
      <c r="D423" s="79">
        <v>127.57360000000001</v>
      </c>
      <c r="E423" s="80">
        <v>119.9</v>
      </c>
      <c r="F423" s="88">
        <v>158.58699999999999</v>
      </c>
      <c r="G423" s="80">
        <v>110.9</v>
      </c>
    </row>
    <row r="424" spans="1:7" x14ac:dyDescent="0.25">
      <c r="A424" s="100">
        <v>41153</v>
      </c>
      <c r="B424" s="106"/>
      <c r="C424" s="113">
        <v>41244</v>
      </c>
      <c r="D424" s="82">
        <v>126.93520000000001</v>
      </c>
      <c r="E424" s="83">
        <v>119.3</v>
      </c>
      <c r="F424" s="89">
        <v>158.44399999999999</v>
      </c>
      <c r="G424" s="83">
        <v>110.8</v>
      </c>
    </row>
    <row r="425" spans="1:7" x14ac:dyDescent="0.25">
      <c r="A425" s="98">
        <v>41122</v>
      </c>
      <c r="B425" s="106"/>
      <c r="C425" s="110">
        <v>41214</v>
      </c>
      <c r="D425" s="85">
        <v>126.61600000000001</v>
      </c>
      <c r="E425" s="86">
        <v>119</v>
      </c>
      <c r="F425" s="87">
        <v>158.15799999999999</v>
      </c>
      <c r="G425" s="86">
        <v>110.6</v>
      </c>
    </row>
    <row r="426" spans="1:7" x14ac:dyDescent="0.25">
      <c r="A426" s="98">
        <v>41091</v>
      </c>
      <c r="B426" s="106"/>
      <c r="C426" s="110">
        <v>41183</v>
      </c>
      <c r="D426" s="85">
        <v>124.91360000000002</v>
      </c>
      <c r="E426" s="86">
        <v>117.4</v>
      </c>
      <c r="F426" s="87">
        <v>157.87200000000001</v>
      </c>
      <c r="G426" s="86">
        <v>110.4</v>
      </c>
    </row>
    <row r="427" spans="1:7" x14ac:dyDescent="0.25">
      <c r="A427" s="98">
        <v>41061</v>
      </c>
      <c r="B427" s="106"/>
      <c r="C427" s="110">
        <v>41153</v>
      </c>
      <c r="D427" s="85">
        <v>124.1688</v>
      </c>
      <c r="E427" s="86">
        <v>116.7</v>
      </c>
      <c r="F427" s="87">
        <v>157.58599999999998</v>
      </c>
      <c r="G427" s="86">
        <v>110.2</v>
      </c>
    </row>
    <row r="428" spans="1:7" x14ac:dyDescent="0.25">
      <c r="A428" s="98">
        <v>41030</v>
      </c>
      <c r="B428" s="106"/>
      <c r="C428" s="110">
        <v>41122</v>
      </c>
      <c r="D428" s="85">
        <v>125.23280000000001</v>
      </c>
      <c r="E428" s="86">
        <v>117.7</v>
      </c>
      <c r="F428" s="87">
        <v>157.29999999999998</v>
      </c>
      <c r="G428" s="86">
        <v>110</v>
      </c>
    </row>
    <row r="429" spans="1:7" x14ac:dyDescent="0.25">
      <c r="A429" s="98">
        <v>41000</v>
      </c>
      <c r="B429" s="106"/>
      <c r="C429" s="110">
        <v>41091</v>
      </c>
      <c r="D429" s="85">
        <v>126.50960000000001</v>
      </c>
      <c r="E429" s="86">
        <v>118.9</v>
      </c>
      <c r="F429" s="87">
        <v>157.15700000000001</v>
      </c>
      <c r="G429" s="86">
        <v>109.9</v>
      </c>
    </row>
    <row r="430" spans="1:7" x14ac:dyDescent="0.25">
      <c r="A430" s="98">
        <v>40969</v>
      </c>
      <c r="B430" s="106"/>
      <c r="C430" s="110">
        <v>41061</v>
      </c>
      <c r="D430" s="85">
        <v>126.72240000000001</v>
      </c>
      <c r="E430" s="86">
        <v>119.1</v>
      </c>
      <c r="F430" s="87">
        <v>156.72799999999998</v>
      </c>
      <c r="G430" s="86">
        <v>109.6</v>
      </c>
    </row>
    <row r="431" spans="1:7" x14ac:dyDescent="0.25">
      <c r="A431" s="98">
        <v>40940</v>
      </c>
      <c r="B431" s="106"/>
      <c r="C431" s="110">
        <v>41030</v>
      </c>
      <c r="D431" s="85">
        <v>126.084</v>
      </c>
      <c r="E431" s="86">
        <v>118.5</v>
      </c>
      <c r="F431" s="87">
        <v>156.58499999999998</v>
      </c>
      <c r="G431" s="86">
        <v>109.5</v>
      </c>
    </row>
    <row r="432" spans="1:7" x14ac:dyDescent="0.25">
      <c r="A432" s="98">
        <v>40909</v>
      </c>
      <c r="B432" s="106"/>
      <c r="C432" s="110">
        <v>41000</v>
      </c>
      <c r="D432" s="85">
        <v>125.1264</v>
      </c>
      <c r="E432" s="86">
        <v>117.6</v>
      </c>
      <c r="F432" s="87">
        <v>156.44200000000001</v>
      </c>
      <c r="G432" s="86">
        <v>109.4</v>
      </c>
    </row>
    <row r="433" spans="1:7" x14ac:dyDescent="0.25">
      <c r="A433" s="98">
        <v>40878</v>
      </c>
      <c r="B433" s="106"/>
      <c r="C433" s="110">
        <v>40969</v>
      </c>
      <c r="D433" s="85">
        <v>124.2752</v>
      </c>
      <c r="E433" s="86">
        <v>116.8</v>
      </c>
      <c r="F433" s="87">
        <v>156.01299999999998</v>
      </c>
      <c r="G433" s="86">
        <v>109.1</v>
      </c>
    </row>
    <row r="434" spans="1:7" x14ac:dyDescent="0.25">
      <c r="A434" s="98">
        <v>40848</v>
      </c>
      <c r="B434" s="106"/>
      <c r="C434" s="110">
        <v>40940</v>
      </c>
      <c r="D434" s="85">
        <v>124.38160000000001</v>
      </c>
      <c r="E434" s="86">
        <v>116.9</v>
      </c>
      <c r="F434" s="87">
        <v>155.584</v>
      </c>
      <c r="G434" s="86">
        <v>108.8</v>
      </c>
    </row>
    <row r="435" spans="1:7" x14ac:dyDescent="0.25">
      <c r="A435" s="99">
        <v>40817</v>
      </c>
      <c r="B435" s="107"/>
      <c r="C435" s="111">
        <v>40909</v>
      </c>
      <c r="D435" s="79">
        <v>124.0624</v>
      </c>
      <c r="E435" s="80">
        <v>116.6</v>
      </c>
      <c r="F435" s="88">
        <v>155.012</v>
      </c>
      <c r="G435" s="80">
        <v>108.4</v>
      </c>
    </row>
    <row r="436" spans="1:7" x14ac:dyDescent="0.25">
      <c r="A436" s="100">
        <v>40787</v>
      </c>
      <c r="B436" s="106"/>
      <c r="C436" s="113">
        <v>40878</v>
      </c>
      <c r="D436" s="82">
        <v>123.5304</v>
      </c>
      <c r="E436" s="83">
        <v>116.1</v>
      </c>
      <c r="F436" s="89">
        <v>154.583</v>
      </c>
      <c r="G436" s="83">
        <v>108.1</v>
      </c>
    </row>
    <row r="437" spans="1:7" x14ac:dyDescent="0.25">
      <c r="A437" s="98">
        <v>40756</v>
      </c>
      <c r="B437" s="106"/>
      <c r="C437" s="110">
        <v>40848</v>
      </c>
      <c r="D437" s="85">
        <v>123.21120000000001</v>
      </c>
      <c r="E437" s="86">
        <v>115.8</v>
      </c>
      <c r="F437" s="87">
        <v>154.297</v>
      </c>
      <c r="G437" s="86">
        <v>107.9</v>
      </c>
    </row>
    <row r="438" spans="1:7" x14ac:dyDescent="0.25">
      <c r="A438" s="98">
        <v>40725</v>
      </c>
      <c r="B438" s="106"/>
      <c r="C438" s="110">
        <v>40817</v>
      </c>
      <c r="D438" s="85">
        <v>123.21120000000001</v>
      </c>
      <c r="E438" s="86">
        <v>115.8</v>
      </c>
      <c r="F438" s="87">
        <v>154.011</v>
      </c>
      <c r="G438" s="86">
        <v>107.7</v>
      </c>
    </row>
    <row r="439" spans="1:7" x14ac:dyDescent="0.25">
      <c r="A439" s="98">
        <v>40695</v>
      </c>
      <c r="B439" s="106"/>
      <c r="C439" s="110">
        <v>40787</v>
      </c>
      <c r="D439" s="85">
        <v>122.67920000000001</v>
      </c>
      <c r="E439" s="86">
        <v>115.3</v>
      </c>
      <c r="F439" s="87">
        <v>153.29599999999999</v>
      </c>
      <c r="G439" s="86">
        <v>107.2</v>
      </c>
    </row>
    <row r="440" spans="1:7" x14ac:dyDescent="0.25">
      <c r="A440" s="98">
        <v>40664</v>
      </c>
      <c r="B440" s="106"/>
      <c r="C440" s="110">
        <v>40756</v>
      </c>
      <c r="D440" s="85">
        <v>122.78560000000002</v>
      </c>
      <c r="E440" s="86">
        <v>115.4</v>
      </c>
      <c r="F440" s="87">
        <v>152.58099999999999</v>
      </c>
      <c r="G440" s="86">
        <v>106.7</v>
      </c>
    </row>
    <row r="441" spans="1:7" x14ac:dyDescent="0.25">
      <c r="A441" s="98">
        <v>40634</v>
      </c>
      <c r="B441" s="106"/>
      <c r="C441" s="110">
        <v>40725</v>
      </c>
      <c r="D441" s="85">
        <v>123.31760000000001</v>
      </c>
      <c r="E441" s="86">
        <v>115.9</v>
      </c>
      <c r="F441" s="87">
        <v>151.86599999999999</v>
      </c>
      <c r="G441" s="86">
        <v>106.2</v>
      </c>
    </row>
    <row r="442" spans="1:7" x14ac:dyDescent="0.25">
      <c r="A442" s="98">
        <v>40603</v>
      </c>
      <c r="B442" s="106"/>
      <c r="C442" s="110">
        <v>40695</v>
      </c>
      <c r="D442" s="85">
        <v>122.1472</v>
      </c>
      <c r="E442" s="86">
        <v>114.8</v>
      </c>
      <c r="F442" s="87">
        <v>151.29399999999998</v>
      </c>
      <c r="G442" s="86">
        <v>105.8</v>
      </c>
    </row>
    <row r="443" spans="1:7" x14ac:dyDescent="0.25">
      <c r="A443" s="98">
        <v>40575</v>
      </c>
      <c r="B443" s="106"/>
      <c r="C443" s="110">
        <v>40664</v>
      </c>
      <c r="D443" s="85">
        <v>121.18960000000001</v>
      </c>
      <c r="E443" s="86">
        <v>113.9</v>
      </c>
      <c r="F443" s="87">
        <v>150.86499999999998</v>
      </c>
      <c r="G443" s="86">
        <v>105.5</v>
      </c>
    </row>
    <row r="444" spans="1:7" x14ac:dyDescent="0.25">
      <c r="A444" s="98">
        <v>40544</v>
      </c>
      <c r="B444" s="106"/>
      <c r="C444" s="110">
        <v>40634</v>
      </c>
      <c r="D444" s="85">
        <v>120.232</v>
      </c>
      <c r="E444" s="86">
        <v>113</v>
      </c>
      <c r="F444" s="87">
        <v>150.29299999999998</v>
      </c>
      <c r="G444" s="86">
        <v>105.1</v>
      </c>
    </row>
    <row r="445" spans="1:7" x14ac:dyDescent="0.25">
      <c r="A445" s="98">
        <v>40513</v>
      </c>
      <c r="B445" s="106"/>
      <c r="C445" s="110">
        <v>40603</v>
      </c>
      <c r="D445" s="85">
        <v>119.16800000000001</v>
      </c>
      <c r="E445" s="86">
        <v>112</v>
      </c>
      <c r="F445" s="87">
        <v>149.57799999999997</v>
      </c>
      <c r="G445" s="86">
        <v>104.6</v>
      </c>
    </row>
    <row r="446" spans="1:7" x14ac:dyDescent="0.25">
      <c r="A446" s="98">
        <v>40483</v>
      </c>
      <c r="B446" s="106"/>
      <c r="C446" s="110">
        <v>40575</v>
      </c>
      <c r="D446" s="85">
        <v>118.21040000000001</v>
      </c>
      <c r="E446" s="86">
        <v>111.1</v>
      </c>
      <c r="F446" s="87">
        <v>148.863</v>
      </c>
      <c r="G446" s="86">
        <v>104.1</v>
      </c>
    </row>
    <row r="447" spans="1:7" x14ac:dyDescent="0.25">
      <c r="A447" s="99">
        <v>40452</v>
      </c>
      <c r="B447" s="107"/>
      <c r="C447" s="111">
        <v>40544</v>
      </c>
      <c r="D447" s="79">
        <v>117.572</v>
      </c>
      <c r="E447" s="80">
        <v>110.5</v>
      </c>
      <c r="F447" s="88">
        <v>148.148</v>
      </c>
      <c r="G447" s="80">
        <v>103.6</v>
      </c>
    </row>
    <row r="448" spans="1:7" x14ac:dyDescent="0.25">
      <c r="A448" s="100">
        <v>40422</v>
      </c>
      <c r="B448" s="106"/>
      <c r="C448" s="113">
        <v>40513</v>
      </c>
      <c r="D448" s="82">
        <v>116.72080000000001</v>
      </c>
      <c r="E448" s="83">
        <v>109.7</v>
      </c>
      <c r="F448" s="89">
        <v>147.57599999999999</v>
      </c>
      <c r="G448" s="83">
        <v>103.2</v>
      </c>
    </row>
    <row r="449" spans="1:7" x14ac:dyDescent="0.25">
      <c r="A449" s="98">
        <v>40391</v>
      </c>
      <c r="B449" s="106"/>
      <c r="C449" s="110">
        <v>40483</v>
      </c>
      <c r="D449" s="85">
        <v>116.29520000000001</v>
      </c>
      <c r="E449" s="86">
        <v>109.3</v>
      </c>
      <c r="F449" s="87">
        <v>147.00399999999999</v>
      </c>
      <c r="G449" s="86">
        <v>102.8</v>
      </c>
    </row>
    <row r="450" spans="1:7" x14ac:dyDescent="0.25">
      <c r="A450" s="98">
        <v>40360</v>
      </c>
      <c r="B450" s="106"/>
      <c r="C450" s="110">
        <v>40452</v>
      </c>
      <c r="D450" s="85">
        <v>116.18880000000001</v>
      </c>
      <c r="E450" s="86">
        <v>109.2</v>
      </c>
      <c r="F450" s="87">
        <v>146.43199999999999</v>
      </c>
      <c r="G450" s="86">
        <v>102.4</v>
      </c>
    </row>
    <row r="451" spans="1:7" x14ac:dyDescent="0.25">
      <c r="A451" s="98">
        <v>40330</v>
      </c>
      <c r="B451" s="106"/>
      <c r="C451" s="110">
        <v>40422</v>
      </c>
      <c r="D451" s="85">
        <v>115.976</v>
      </c>
      <c r="E451" s="86">
        <v>109</v>
      </c>
      <c r="F451" s="87">
        <v>145.85999999999999</v>
      </c>
      <c r="G451" s="86">
        <v>102</v>
      </c>
    </row>
    <row r="452" spans="1:7" x14ac:dyDescent="0.25">
      <c r="A452" s="98">
        <v>40299</v>
      </c>
      <c r="B452" s="106"/>
      <c r="C452" s="110">
        <v>40391</v>
      </c>
      <c r="D452" s="85">
        <v>115.976</v>
      </c>
      <c r="E452" s="86">
        <v>109</v>
      </c>
      <c r="F452" s="87">
        <v>145.00200000000001</v>
      </c>
      <c r="G452" s="86">
        <v>101.4</v>
      </c>
    </row>
    <row r="453" spans="1:7" x14ac:dyDescent="0.25">
      <c r="A453" s="98">
        <v>40269</v>
      </c>
      <c r="B453" s="106"/>
      <c r="C453" s="110">
        <v>40360</v>
      </c>
      <c r="D453" s="85">
        <v>115.976</v>
      </c>
      <c r="E453" s="86">
        <v>109</v>
      </c>
      <c r="F453" s="87">
        <v>144.28700000000001</v>
      </c>
      <c r="G453" s="86">
        <v>100.9</v>
      </c>
    </row>
    <row r="454" spans="1:7" x14ac:dyDescent="0.25">
      <c r="A454" s="98">
        <v>40238</v>
      </c>
      <c r="B454" s="106"/>
      <c r="C454" s="110">
        <v>40330</v>
      </c>
      <c r="D454" s="85">
        <v>115.0184</v>
      </c>
      <c r="E454" s="86">
        <v>108.1</v>
      </c>
      <c r="F454" s="87">
        <v>143.85799999999998</v>
      </c>
      <c r="G454" s="86">
        <v>100.6</v>
      </c>
    </row>
    <row r="455" spans="1:7" x14ac:dyDescent="0.25">
      <c r="A455" s="98">
        <v>40210</v>
      </c>
      <c r="B455" s="106"/>
      <c r="C455" s="110">
        <v>40299</v>
      </c>
      <c r="D455" s="85">
        <v>114.38000000000001</v>
      </c>
      <c r="E455" s="86">
        <v>107.5</v>
      </c>
      <c r="F455" s="87">
        <v>143.429</v>
      </c>
      <c r="G455" s="86">
        <v>100.3</v>
      </c>
    </row>
    <row r="456" spans="1:7" x14ac:dyDescent="0.25">
      <c r="A456" s="98">
        <v>40179</v>
      </c>
      <c r="B456" s="106"/>
      <c r="C456" s="110">
        <v>40269</v>
      </c>
      <c r="D456" s="85">
        <v>114.27360000000002</v>
      </c>
      <c r="E456" s="86">
        <v>107.4</v>
      </c>
      <c r="F456" s="87">
        <v>142.857</v>
      </c>
      <c r="G456" s="86">
        <v>99.9</v>
      </c>
    </row>
    <row r="457" spans="1:7" x14ac:dyDescent="0.25">
      <c r="A457" s="98">
        <v>40148</v>
      </c>
      <c r="B457" s="106"/>
      <c r="C457" s="110">
        <v>40238</v>
      </c>
      <c r="D457" s="85">
        <v>113.5288</v>
      </c>
      <c r="E457" s="86">
        <v>106.7</v>
      </c>
      <c r="F457" s="87">
        <v>142.714</v>
      </c>
      <c r="G457" s="86">
        <v>99.8</v>
      </c>
    </row>
    <row r="458" spans="1:7" x14ac:dyDescent="0.25">
      <c r="A458" s="98">
        <v>40118</v>
      </c>
      <c r="B458" s="106"/>
      <c r="C458" s="110">
        <v>40210</v>
      </c>
      <c r="D458" s="85">
        <v>113.4224</v>
      </c>
      <c r="E458" s="86">
        <v>106.6</v>
      </c>
      <c r="F458" s="87">
        <v>142.428</v>
      </c>
      <c r="G458" s="86">
        <v>99.6</v>
      </c>
    </row>
    <row r="459" spans="1:7" x14ac:dyDescent="0.25">
      <c r="A459" s="99">
        <v>40087</v>
      </c>
      <c r="B459" s="107"/>
      <c r="C459" s="111">
        <v>40179</v>
      </c>
      <c r="D459" s="79">
        <v>113.1032</v>
      </c>
      <c r="E459" s="80">
        <v>106.3</v>
      </c>
      <c r="F459" s="88">
        <v>142.142</v>
      </c>
      <c r="G459" s="80">
        <v>99.4</v>
      </c>
    </row>
    <row r="460" spans="1:7" x14ac:dyDescent="0.25">
      <c r="A460" s="100">
        <v>40057</v>
      </c>
      <c r="B460" s="106"/>
      <c r="C460" s="113">
        <v>40148</v>
      </c>
      <c r="D460" s="82">
        <v>112.3584</v>
      </c>
      <c r="E460" s="83">
        <v>105.6</v>
      </c>
      <c r="F460" s="89">
        <v>142.142</v>
      </c>
      <c r="G460" s="83">
        <v>99.4</v>
      </c>
    </row>
    <row r="461" spans="1:7" x14ac:dyDescent="0.25">
      <c r="A461" s="98">
        <v>40026</v>
      </c>
      <c r="B461" s="106"/>
      <c r="C461" s="110">
        <v>40118</v>
      </c>
      <c r="D461" s="85">
        <v>112.67760000000001</v>
      </c>
      <c r="E461" s="86">
        <v>105.9</v>
      </c>
      <c r="F461" s="87">
        <v>142.142</v>
      </c>
      <c r="G461" s="86">
        <v>99.4</v>
      </c>
    </row>
    <row r="462" spans="1:7" x14ac:dyDescent="0.25">
      <c r="A462" s="98">
        <v>39995</v>
      </c>
      <c r="B462" s="106"/>
      <c r="C462" s="110">
        <v>40087</v>
      </c>
      <c r="D462" s="85">
        <v>112.25200000000001</v>
      </c>
      <c r="E462" s="86">
        <v>105.5</v>
      </c>
      <c r="F462" s="87">
        <v>142.142</v>
      </c>
      <c r="G462" s="86">
        <v>99.4</v>
      </c>
    </row>
    <row r="463" spans="1:7" x14ac:dyDescent="0.25">
      <c r="A463" s="98">
        <v>39965</v>
      </c>
      <c r="B463" s="106"/>
      <c r="C463" s="110">
        <v>40057</v>
      </c>
      <c r="D463" s="85">
        <v>112.25200000000001</v>
      </c>
      <c r="E463" s="86">
        <v>105.5</v>
      </c>
      <c r="F463" s="87">
        <v>142.285</v>
      </c>
      <c r="G463" s="86">
        <v>99.5</v>
      </c>
    </row>
    <row r="464" spans="1:7" x14ac:dyDescent="0.25">
      <c r="A464" s="98">
        <v>39934</v>
      </c>
      <c r="B464" s="106"/>
      <c r="C464" s="110">
        <v>40026</v>
      </c>
      <c r="D464" s="85">
        <v>111.72</v>
      </c>
      <c r="E464" s="86">
        <v>105</v>
      </c>
      <c r="F464" s="87">
        <v>142.571</v>
      </c>
      <c r="G464" s="86">
        <v>99.7</v>
      </c>
    </row>
    <row r="465" spans="1:7" x14ac:dyDescent="0.25">
      <c r="A465" s="98">
        <v>39904</v>
      </c>
      <c r="B465" s="106"/>
      <c r="C465" s="110">
        <v>39995</v>
      </c>
      <c r="D465" s="85">
        <v>112.03920000000001</v>
      </c>
      <c r="E465" s="86">
        <v>105.3</v>
      </c>
      <c r="F465" s="87">
        <v>142.714</v>
      </c>
      <c r="G465" s="86">
        <v>99.8</v>
      </c>
    </row>
    <row r="466" spans="1:7" x14ac:dyDescent="0.25">
      <c r="A466" s="98">
        <v>39873</v>
      </c>
      <c r="B466" s="106"/>
      <c r="C466" s="110">
        <v>39965</v>
      </c>
      <c r="D466" s="85">
        <v>112.99680000000001</v>
      </c>
      <c r="E466" s="86">
        <v>106.2</v>
      </c>
      <c r="F466" s="87">
        <v>142.714</v>
      </c>
      <c r="G466" s="86">
        <v>99.8</v>
      </c>
    </row>
    <row r="467" spans="1:7" x14ac:dyDescent="0.25">
      <c r="A467" s="98">
        <v>39845</v>
      </c>
      <c r="B467" s="106"/>
      <c r="C467" s="110">
        <v>39934</v>
      </c>
      <c r="D467" s="85">
        <v>113.4224</v>
      </c>
      <c r="E467" s="86">
        <v>106.6</v>
      </c>
      <c r="F467" s="87">
        <v>142.857</v>
      </c>
      <c r="G467" s="86">
        <v>99.9</v>
      </c>
    </row>
    <row r="468" spans="1:7" x14ac:dyDescent="0.25">
      <c r="A468" s="98">
        <v>39814</v>
      </c>
      <c r="B468" s="106"/>
      <c r="C468" s="110">
        <v>39904</v>
      </c>
      <c r="D468" s="85">
        <v>113.95440000000001</v>
      </c>
      <c r="E468" s="86">
        <v>107.1</v>
      </c>
      <c r="F468" s="87">
        <v>142.857</v>
      </c>
      <c r="G468" s="86">
        <v>99.9</v>
      </c>
    </row>
    <row r="469" spans="1:7" x14ac:dyDescent="0.25">
      <c r="A469" s="98">
        <v>39783</v>
      </c>
      <c r="B469" s="106"/>
      <c r="C469" s="110">
        <v>39873</v>
      </c>
      <c r="D469" s="85">
        <v>116.29520000000001</v>
      </c>
      <c r="E469" s="86">
        <v>109.3</v>
      </c>
      <c r="F469" s="87">
        <v>143</v>
      </c>
      <c r="G469" s="86">
        <v>100</v>
      </c>
    </row>
    <row r="470" spans="1:7" x14ac:dyDescent="0.25">
      <c r="A470" s="98">
        <v>39753</v>
      </c>
      <c r="B470" s="106"/>
      <c r="C470" s="110">
        <v>39845</v>
      </c>
      <c r="D470" s="85">
        <v>117.7848</v>
      </c>
      <c r="E470" s="86">
        <v>110.7</v>
      </c>
      <c r="F470" s="87">
        <v>143</v>
      </c>
      <c r="G470" s="86"/>
    </row>
    <row r="471" spans="1:7" x14ac:dyDescent="0.25">
      <c r="A471" s="99">
        <v>39722</v>
      </c>
      <c r="B471" s="107"/>
      <c r="C471" s="111">
        <v>39814</v>
      </c>
      <c r="D471" s="79">
        <v>120.1</v>
      </c>
      <c r="E471" s="80">
        <v>112.9</v>
      </c>
      <c r="F471" s="88">
        <v>143</v>
      </c>
      <c r="G471" s="80"/>
    </row>
    <row r="472" spans="1:7" x14ac:dyDescent="0.25">
      <c r="A472" s="100">
        <v>39692</v>
      </c>
      <c r="B472" s="106"/>
      <c r="C472" s="113">
        <v>39783</v>
      </c>
      <c r="D472" s="82">
        <v>121.2</v>
      </c>
      <c r="E472" s="83">
        <v>113.6</v>
      </c>
      <c r="F472" s="89">
        <v>142.6</v>
      </c>
      <c r="G472" s="83"/>
    </row>
    <row r="473" spans="1:7" x14ac:dyDescent="0.25">
      <c r="A473" s="98">
        <v>39661</v>
      </c>
      <c r="B473" s="106"/>
      <c r="C473" s="110">
        <v>39753</v>
      </c>
      <c r="D473" s="85">
        <v>122</v>
      </c>
      <c r="E473" s="86">
        <v>114.3</v>
      </c>
      <c r="F473" s="87">
        <v>142.5</v>
      </c>
      <c r="G473" s="86"/>
    </row>
    <row r="474" spans="1:7" x14ac:dyDescent="0.25">
      <c r="A474" s="98">
        <v>39630</v>
      </c>
      <c r="B474" s="106"/>
      <c r="C474" s="110">
        <v>39722</v>
      </c>
      <c r="D474" s="85">
        <v>122.4</v>
      </c>
      <c r="E474" s="86">
        <v>114.7</v>
      </c>
      <c r="F474" s="87">
        <v>142.19999999999999</v>
      </c>
      <c r="G474" s="86"/>
    </row>
    <row r="475" spans="1:7" x14ac:dyDescent="0.25">
      <c r="A475" s="98">
        <v>39600</v>
      </c>
      <c r="B475" s="106"/>
      <c r="C475" s="110">
        <v>39692</v>
      </c>
      <c r="D475" s="85">
        <v>121.4</v>
      </c>
      <c r="E475" s="86">
        <v>113.8</v>
      </c>
      <c r="F475" s="87">
        <v>141.80000000000001</v>
      </c>
      <c r="G475" s="86"/>
    </row>
    <row r="476" spans="1:7" x14ac:dyDescent="0.25">
      <c r="A476" s="98">
        <v>39569</v>
      </c>
      <c r="B476" s="106"/>
      <c r="C476" s="110">
        <v>39661</v>
      </c>
      <c r="D476" s="85">
        <v>120.5</v>
      </c>
      <c r="E476" s="86">
        <v>113</v>
      </c>
      <c r="F476" s="87">
        <v>141.30000000000001</v>
      </c>
      <c r="G476" s="86"/>
    </row>
    <row r="477" spans="1:7" x14ac:dyDescent="0.25">
      <c r="A477" s="98">
        <v>39539</v>
      </c>
      <c r="B477" s="106"/>
      <c r="C477" s="110">
        <v>39630</v>
      </c>
      <c r="D477" s="85">
        <v>119</v>
      </c>
      <c r="E477" s="86">
        <v>111.6</v>
      </c>
      <c r="F477" s="87">
        <v>140.80000000000001</v>
      </c>
      <c r="G477" s="86"/>
    </row>
    <row r="478" spans="1:7" x14ac:dyDescent="0.25">
      <c r="A478" s="98">
        <v>39508</v>
      </c>
      <c r="B478" s="106"/>
      <c r="C478" s="110">
        <v>39600</v>
      </c>
      <c r="D478" s="85">
        <v>118</v>
      </c>
      <c r="E478" s="86">
        <v>110.8</v>
      </c>
      <c r="F478" s="87">
        <v>140.19999999999999</v>
      </c>
      <c r="G478" s="86"/>
    </row>
    <row r="479" spans="1:7" x14ac:dyDescent="0.25">
      <c r="A479" s="98">
        <v>39479</v>
      </c>
      <c r="B479" s="106"/>
      <c r="C479" s="110">
        <v>39569</v>
      </c>
      <c r="D479" s="85">
        <v>117.4</v>
      </c>
      <c r="E479" s="86">
        <v>110.1</v>
      </c>
      <c r="F479" s="87">
        <v>139.6</v>
      </c>
      <c r="G479" s="86"/>
    </row>
    <row r="480" spans="1:7" x14ac:dyDescent="0.25">
      <c r="A480" s="98">
        <v>39448</v>
      </c>
      <c r="B480" s="106"/>
      <c r="C480" s="110">
        <v>39539</v>
      </c>
      <c r="D480" s="85">
        <v>116.9</v>
      </c>
      <c r="E480" s="86">
        <v>109.6</v>
      </c>
      <c r="F480" s="87">
        <v>139</v>
      </c>
      <c r="G480" s="86"/>
    </row>
    <row r="481" spans="1:7" x14ac:dyDescent="0.25">
      <c r="A481" s="98">
        <v>39417</v>
      </c>
      <c r="B481" s="106"/>
      <c r="C481" s="110">
        <v>39508</v>
      </c>
      <c r="D481" s="85">
        <v>116.1</v>
      </c>
      <c r="E481" s="86">
        <v>109</v>
      </c>
      <c r="F481" s="87">
        <v>138.6</v>
      </c>
      <c r="G481" s="86">
        <v>96.92307692307692</v>
      </c>
    </row>
    <row r="482" spans="1:7" x14ac:dyDescent="0.25">
      <c r="A482" s="98">
        <v>39387</v>
      </c>
      <c r="B482" s="106"/>
      <c r="C482" s="110">
        <v>39479</v>
      </c>
      <c r="D482" s="85">
        <v>116</v>
      </c>
      <c r="E482" s="86">
        <v>108.4</v>
      </c>
      <c r="F482" s="87">
        <v>138.4</v>
      </c>
      <c r="G482" s="86"/>
    </row>
    <row r="483" spans="1:7" x14ac:dyDescent="0.25">
      <c r="A483" s="99">
        <v>39356</v>
      </c>
      <c r="B483" s="107"/>
      <c r="C483" s="111">
        <v>39448</v>
      </c>
      <c r="D483" s="79">
        <v>115.1</v>
      </c>
      <c r="E483" s="80">
        <v>107.7</v>
      </c>
      <c r="F483" s="88">
        <v>138.19999999999999</v>
      </c>
      <c r="G483" s="80"/>
    </row>
    <row r="484" spans="1:7" x14ac:dyDescent="0.25">
      <c r="A484" s="100">
        <v>39326</v>
      </c>
      <c r="B484" s="106"/>
      <c r="C484" s="113">
        <v>39417</v>
      </c>
      <c r="D484" s="82">
        <v>114.3</v>
      </c>
      <c r="E484" s="83">
        <v>107.2</v>
      </c>
      <c r="F484" s="89">
        <v>138.1</v>
      </c>
      <c r="G484" s="83"/>
    </row>
    <row r="485" spans="1:7" x14ac:dyDescent="0.25">
      <c r="A485" s="98">
        <v>39295</v>
      </c>
      <c r="B485" s="106"/>
      <c r="C485" s="110">
        <v>39387</v>
      </c>
      <c r="D485" s="85">
        <v>113.9</v>
      </c>
      <c r="E485" s="86">
        <v>106.6</v>
      </c>
      <c r="F485" s="87">
        <v>137.9</v>
      </c>
      <c r="G485" s="86"/>
    </row>
    <row r="486" spans="1:7" x14ac:dyDescent="0.25">
      <c r="A486" s="98">
        <v>39264</v>
      </c>
      <c r="B486" s="106"/>
      <c r="C486" s="110">
        <v>39356</v>
      </c>
      <c r="D486" s="85">
        <v>113.7</v>
      </c>
      <c r="E486" s="86">
        <v>106.4</v>
      </c>
      <c r="F486" s="87">
        <v>137.6</v>
      </c>
      <c r="G486" s="86"/>
    </row>
    <row r="487" spans="1:7" x14ac:dyDescent="0.25">
      <c r="A487" s="98">
        <v>39234</v>
      </c>
      <c r="B487" s="106"/>
      <c r="C487" s="110">
        <v>39326</v>
      </c>
      <c r="D487" s="85">
        <v>113.1</v>
      </c>
      <c r="E487" s="86">
        <v>105.9</v>
      </c>
      <c r="F487" s="87">
        <v>137.4</v>
      </c>
      <c r="G487" s="86"/>
    </row>
    <row r="488" spans="1:7" x14ac:dyDescent="0.25">
      <c r="A488" s="98">
        <v>39203</v>
      </c>
      <c r="B488" s="106"/>
      <c r="C488" s="110">
        <v>39295</v>
      </c>
      <c r="D488" s="85">
        <v>112.9</v>
      </c>
      <c r="E488" s="86">
        <v>105.9</v>
      </c>
      <c r="F488" s="87">
        <v>137.30000000000001</v>
      </c>
      <c r="G488" s="86"/>
    </row>
    <row r="489" spans="1:7" x14ac:dyDescent="0.25">
      <c r="A489" s="98">
        <v>39173</v>
      </c>
      <c r="B489" s="106"/>
      <c r="C489" s="110">
        <v>39264</v>
      </c>
      <c r="D489" s="85">
        <v>112.7</v>
      </c>
      <c r="E489" s="86">
        <v>105.7</v>
      </c>
      <c r="F489" s="87">
        <v>136.6</v>
      </c>
      <c r="G489" s="86"/>
    </row>
    <row r="490" spans="1:7" x14ac:dyDescent="0.25">
      <c r="A490" s="98">
        <v>39142</v>
      </c>
      <c r="B490" s="106"/>
      <c r="C490" s="110">
        <v>39234</v>
      </c>
      <c r="D490" s="85">
        <v>112.1</v>
      </c>
      <c r="E490" s="86">
        <v>105.2</v>
      </c>
      <c r="F490" s="87">
        <v>136.30000000000001</v>
      </c>
      <c r="G490" s="86"/>
    </row>
    <row r="491" spans="1:7" x14ac:dyDescent="0.25">
      <c r="A491" s="98">
        <v>39114</v>
      </c>
      <c r="B491" s="106"/>
      <c r="C491" s="110">
        <v>39203</v>
      </c>
      <c r="D491" s="85">
        <v>111.8</v>
      </c>
      <c r="E491" s="86">
        <v>104.8</v>
      </c>
      <c r="F491" s="87">
        <v>135.69999999999999</v>
      </c>
      <c r="G491" s="86"/>
    </row>
    <row r="492" spans="1:7" x14ac:dyDescent="0.25">
      <c r="A492" s="98">
        <v>39083</v>
      </c>
      <c r="B492" s="106"/>
      <c r="C492" s="110">
        <v>39173</v>
      </c>
      <c r="D492" s="85">
        <v>111.3</v>
      </c>
      <c r="E492" s="86">
        <v>104.3</v>
      </c>
      <c r="F492" s="87">
        <v>135.30000000000001</v>
      </c>
      <c r="G492" s="86"/>
    </row>
    <row r="493" spans="1:7" x14ac:dyDescent="0.25">
      <c r="A493" s="98">
        <v>39052</v>
      </c>
      <c r="B493" s="106"/>
      <c r="C493" s="110">
        <v>39142</v>
      </c>
      <c r="D493" s="85">
        <v>111.2</v>
      </c>
      <c r="E493" s="86">
        <v>104.1</v>
      </c>
      <c r="F493" s="87">
        <v>134.80000000000001</v>
      </c>
      <c r="G493" s="86"/>
    </row>
    <row r="494" spans="1:7" x14ac:dyDescent="0.25">
      <c r="A494" s="98">
        <v>39022</v>
      </c>
      <c r="B494" s="106"/>
      <c r="C494" s="110">
        <v>39114</v>
      </c>
      <c r="D494" s="85">
        <v>111.3</v>
      </c>
      <c r="E494" s="86">
        <v>104.3</v>
      </c>
      <c r="F494" s="87">
        <v>134.9</v>
      </c>
      <c r="G494" s="86"/>
    </row>
    <row r="495" spans="1:7" x14ac:dyDescent="0.25">
      <c r="A495" s="99">
        <v>38991</v>
      </c>
      <c r="B495" s="107"/>
      <c r="C495" s="111">
        <v>39083</v>
      </c>
      <c r="D495" s="79">
        <v>111.4</v>
      </c>
      <c r="E495" s="80">
        <v>104.3</v>
      </c>
      <c r="F495" s="88">
        <v>134.69999999999999</v>
      </c>
      <c r="G495" s="80"/>
    </row>
    <row r="496" spans="1:7" x14ac:dyDescent="0.25">
      <c r="A496" s="100">
        <v>38961</v>
      </c>
      <c r="B496" s="106"/>
      <c r="C496" s="113">
        <v>39052</v>
      </c>
      <c r="D496" s="82">
        <v>111.3</v>
      </c>
      <c r="E496" s="83">
        <v>104.2</v>
      </c>
      <c r="F496" s="89">
        <v>134.5</v>
      </c>
      <c r="G496" s="83"/>
    </row>
    <row r="497" spans="1:7" x14ac:dyDescent="0.25">
      <c r="A497" s="98">
        <v>38930</v>
      </c>
      <c r="B497" s="106"/>
      <c r="C497" s="110">
        <v>39022</v>
      </c>
      <c r="D497" s="85">
        <v>112</v>
      </c>
      <c r="E497" s="86">
        <v>104.8</v>
      </c>
      <c r="F497" s="87">
        <v>134.30000000000001</v>
      </c>
      <c r="G497" s="86"/>
    </row>
    <row r="498" spans="1:7" x14ac:dyDescent="0.25">
      <c r="A498" s="98">
        <v>38899</v>
      </c>
      <c r="B498" s="106"/>
      <c r="C498" s="110">
        <v>38991</v>
      </c>
      <c r="D498" s="85">
        <v>111.7</v>
      </c>
      <c r="E498" s="86">
        <v>104.3</v>
      </c>
      <c r="F498" s="87">
        <v>134</v>
      </c>
      <c r="G498" s="86"/>
    </row>
    <row r="499" spans="1:7" x14ac:dyDescent="0.25">
      <c r="A499" s="98">
        <v>38869</v>
      </c>
      <c r="B499" s="106"/>
      <c r="C499" s="110">
        <v>38961</v>
      </c>
      <c r="D499" s="85">
        <v>111</v>
      </c>
      <c r="E499" s="86">
        <v>103.6</v>
      </c>
      <c r="F499" s="87">
        <v>133.80000000000001</v>
      </c>
      <c r="G499" s="86"/>
    </row>
    <row r="500" spans="1:7" x14ac:dyDescent="0.25">
      <c r="A500" s="98">
        <v>38838</v>
      </c>
      <c r="B500" s="106"/>
      <c r="C500" s="110">
        <v>38930</v>
      </c>
      <c r="D500" s="85">
        <v>110.9</v>
      </c>
      <c r="E500" s="86">
        <v>103.4</v>
      </c>
      <c r="F500" s="87">
        <v>133.5</v>
      </c>
      <c r="G500" s="86"/>
    </row>
    <row r="501" spans="1:7" x14ac:dyDescent="0.25">
      <c r="A501" s="98">
        <v>38808</v>
      </c>
      <c r="B501" s="106"/>
      <c r="C501" s="110">
        <v>38899</v>
      </c>
      <c r="D501" s="85">
        <v>110.6</v>
      </c>
      <c r="E501" s="86">
        <v>103.3</v>
      </c>
      <c r="F501" s="87">
        <v>133.1</v>
      </c>
      <c r="G501" s="86"/>
    </row>
    <row r="502" spans="1:7" x14ac:dyDescent="0.25">
      <c r="A502" s="98">
        <v>38777</v>
      </c>
      <c r="B502" s="106"/>
      <c r="C502" s="110">
        <v>38869</v>
      </c>
      <c r="D502" s="85">
        <v>109.8</v>
      </c>
      <c r="E502" s="86">
        <v>102.5</v>
      </c>
      <c r="F502" s="87">
        <v>132.80000000000001</v>
      </c>
      <c r="G502" s="86"/>
    </row>
    <row r="503" spans="1:7" x14ac:dyDescent="0.25">
      <c r="A503" s="98">
        <v>38749</v>
      </c>
      <c r="B503" s="106"/>
      <c r="C503" s="110">
        <v>38838</v>
      </c>
      <c r="D503" s="85">
        <v>109.4</v>
      </c>
      <c r="E503" s="86">
        <v>102</v>
      </c>
      <c r="F503" s="87">
        <v>132.30000000000001</v>
      </c>
      <c r="G503" s="86"/>
    </row>
    <row r="504" spans="1:7" x14ac:dyDescent="0.25">
      <c r="A504" s="98">
        <v>38718</v>
      </c>
      <c r="B504" s="106"/>
      <c r="C504" s="110">
        <v>38808</v>
      </c>
      <c r="D504" s="85">
        <v>109.3</v>
      </c>
      <c r="E504" s="86">
        <v>101.9</v>
      </c>
      <c r="F504" s="87">
        <v>131.80000000000001</v>
      </c>
      <c r="G504" s="86"/>
    </row>
    <row r="505" spans="1:7" x14ac:dyDescent="0.25">
      <c r="A505" s="98">
        <v>38687</v>
      </c>
      <c r="B505" s="106"/>
      <c r="C505" s="110">
        <v>38777</v>
      </c>
      <c r="D505" s="85">
        <v>108.3</v>
      </c>
      <c r="E505" s="86">
        <v>101.2</v>
      </c>
      <c r="F505" s="87">
        <v>131.19999999999999</v>
      </c>
      <c r="G505" s="86"/>
    </row>
    <row r="506" spans="1:7" x14ac:dyDescent="0.25">
      <c r="A506" s="98">
        <v>38657</v>
      </c>
      <c r="B506" s="106"/>
      <c r="C506" s="110">
        <v>38749</v>
      </c>
      <c r="D506" s="85">
        <v>108.4</v>
      </c>
      <c r="E506" s="86">
        <v>101</v>
      </c>
      <c r="F506" s="87">
        <v>131.1</v>
      </c>
      <c r="G506" s="86"/>
    </row>
    <row r="507" spans="1:7" x14ac:dyDescent="0.25">
      <c r="A507" s="99">
        <v>38626</v>
      </c>
      <c r="B507" s="107"/>
      <c r="C507" s="111">
        <v>38718</v>
      </c>
      <c r="D507" s="79">
        <v>108.6</v>
      </c>
      <c r="E507" s="80">
        <v>101.3</v>
      </c>
      <c r="F507" s="88">
        <v>131</v>
      </c>
      <c r="G507" s="80"/>
    </row>
    <row r="508" spans="1:7" x14ac:dyDescent="0.25">
      <c r="A508" s="100">
        <v>38596</v>
      </c>
      <c r="B508" s="106"/>
      <c r="C508" s="113">
        <v>38687</v>
      </c>
      <c r="D508" s="82">
        <v>108.3</v>
      </c>
      <c r="E508" s="83">
        <v>100.9</v>
      </c>
      <c r="F508" s="89">
        <v>130.80000000000001</v>
      </c>
      <c r="G508" s="83"/>
    </row>
    <row r="509" spans="1:7" x14ac:dyDescent="0.25">
      <c r="A509" s="98">
        <v>38565</v>
      </c>
      <c r="B509" s="106"/>
      <c r="C509" s="110">
        <v>38657</v>
      </c>
      <c r="D509" s="85">
        <v>107.7</v>
      </c>
      <c r="E509" s="86">
        <v>100.6</v>
      </c>
      <c r="F509" s="87">
        <v>130.5</v>
      </c>
      <c r="G509" s="86"/>
    </row>
    <row r="510" spans="1:7" x14ac:dyDescent="0.25">
      <c r="A510" s="98">
        <v>38534</v>
      </c>
      <c r="B510" s="106"/>
      <c r="C510" s="110">
        <v>38626</v>
      </c>
      <c r="D510" s="85">
        <v>107.4</v>
      </c>
      <c r="E510" s="86">
        <v>100.3</v>
      </c>
      <c r="F510" s="87">
        <v>130.1</v>
      </c>
      <c r="G510" s="86"/>
    </row>
    <row r="511" spans="1:7" x14ac:dyDescent="0.25">
      <c r="A511" s="98">
        <v>38504</v>
      </c>
      <c r="B511" s="106"/>
      <c r="C511" s="110">
        <v>38596</v>
      </c>
      <c r="D511" s="85">
        <v>106.8</v>
      </c>
      <c r="E511" s="86">
        <v>99.8</v>
      </c>
      <c r="F511" s="87">
        <v>129.9</v>
      </c>
      <c r="G511" s="86"/>
    </row>
    <row r="512" spans="1:7" x14ac:dyDescent="0.25">
      <c r="A512" s="98">
        <v>38473</v>
      </c>
      <c r="B512" s="106"/>
      <c r="C512" s="110">
        <v>38565</v>
      </c>
      <c r="D512" s="85">
        <v>106.4</v>
      </c>
      <c r="E512" s="86">
        <v>99.3</v>
      </c>
      <c r="F512" s="87">
        <v>129.6</v>
      </c>
      <c r="G512" s="86"/>
    </row>
    <row r="513" spans="1:7" x14ac:dyDescent="0.25">
      <c r="A513" s="98">
        <v>38443</v>
      </c>
      <c r="B513" s="106"/>
      <c r="C513" s="110">
        <v>38534</v>
      </c>
      <c r="D513" s="85">
        <v>106.7</v>
      </c>
      <c r="E513" s="86">
        <v>99.4</v>
      </c>
      <c r="F513" s="87">
        <v>129.4</v>
      </c>
      <c r="G513" s="86"/>
    </row>
    <row r="514" spans="1:7" x14ac:dyDescent="0.25">
      <c r="A514" s="98">
        <v>38412</v>
      </c>
      <c r="B514" s="106"/>
      <c r="C514" s="110">
        <v>38504</v>
      </c>
      <c r="D514" s="85">
        <v>106.3</v>
      </c>
      <c r="E514" s="86">
        <v>99.3</v>
      </c>
      <c r="F514" s="87">
        <v>129.19999999999999</v>
      </c>
      <c r="G514" s="86"/>
    </row>
    <row r="515" spans="1:7" x14ac:dyDescent="0.25">
      <c r="A515" s="98">
        <v>38384</v>
      </c>
      <c r="B515" s="106"/>
      <c r="C515" s="110">
        <v>38473</v>
      </c>
      <c r="D515" s="85">
        <v>105.6</v>
      </c>
      <c r="E515" s="86">
        <v>98.4</v>
      </c>
      <c r="F515" s="87">
        <v>128.5</v>
      </c>
      <c r="G515" s="86"/>
    </row>
    <row r="516" spans="1:7" x14ac:dyDescent="0.25">
      <c r="A516" s="98">
        <v>38353</v>
      </c>
      <c r="B516" s="106"/>
      <c r="C516" s="110">
        <v>38443</v>
      </c>
      <c r="D516" s="85">
        <v>105.3</v>
      </c>
      <c r="E516" s="86">
        <v>98.5</v>
      </c>
      <c r="F516" s="87">
        <v>128.1</v>
      </c>
      <c r="G516" s="86"/>
    </row>
    <row r="517" spans="1:7" x14ac:dyDescent="0.25">
      <c r="A517" s="98">
        <v>38322</v>
      </c>
      <c r="B517" s="106"/>
      <c r="C517" s="110">
        <v>38412</v>
      </c>
      <c r="D517" s="85">
        <v>104.9</v>
      </c>
      <c r="E517" s="86">
        <v>98.2</v>
      </c>
      <c r="F517" s="87">
        <v>127.4</v>
      </c>
      <c r="G517" s="86"/>
    </row>
    <row r="518" spans="1:7" x14ac:dyDescent="0.25">
      <c r="A518" s="98">
        <v>38292</v>
      </c>
      <c r="B518" s="106"/>
      <c r="C518" s="110">
        <v>38384</v>
      </c>
      <c r="D518" s="85">
        <v>105.3</v>
      </c>
      <c r="E518" s="86"/>
      <c r="F518" s="87">
        <v>127.4</v>
      </c>
      <c r="G518" s="86"/>
    </row>
    <row r="519" spans="1:7" x14ac:dyDescent="0.25">
      <c r="A519" s="99">
        <v>38261</v>
      </c>
      <c r="B519" s="107"/>
      <c r="C519" s="111">
        <v>38353</v>
      </c>
      <c r="D519" s="79">
        <v>105.4</v>
      </c>
      <c r="E519" s="80"/>
      <c r="F519" s="88">
        <v>127.3</v>
      </c>
      <c r="G519" s="80"/>
    </row>
    <row r="520" spans="1:7" x14ac:dyDescent="0.25">
      <c r="A520" s="100">
        <v>38231</v>
      </c>
      <c r="B520" s="106"/>
      <c r="C520" s="113">
        <v>38322</v>
      </c>
      <c r="D520" s="82">
        <v>104.8</v>
      </c>
      <c r="E520" s="83"/>
      <c r="F520" s="89">
        <v>127.1</v>
      </c>
      <c r="G520" s="83"/>
    </row>
    <row r="521" spans="1:7" x14ac:dyDescent="0.25">
      <c r="A521" s="98">
        <v>38200</v>
      </c>
      <c r="B521" s="106"/>
      <c r="C521" s="110">
        <v>38292</v>
      </c>
      <c r="D521" s="85">
        <v>104.8</v>
      </c>
      <c r="E521" s="86"/>
      <c r="F521" s="87">
        <v>126.6</v>
      </c>
      <c r="G521" s="86"/>
    </row>
    <row r="522" spans="1:7" x14ac:dyDescent="0.25">
      <c r="A522" s="98">
        <v>38169</v>
      </c>
      <c r="B522" s="106"/>
      <c r="C522" s="110">
        <v>38261</v>
      </c>
      <c r="D522" s="85">
        <v>104.3</v>
      </c>
      <c r="E522" s="86"/>
      <c r="F522" s="87">
        <v>127</v>
      </c>
      <c r="G522" s="86"/>
    </row>
    <row r="523" spans="1:7" x14ac:dyDescent="0.25">
      <c r="A523" s="98">
        <v>38139</v>
      </c>
      <c r="B523" s="106"/>
      <c r="C523" s="110">
        <v>38231</v>
      </c>
      <c r="D523" s="85">
        <v>103.8</v>
      </c>
      <c r="E523" s="86"/>
      <c r="F523" s="87">
        <v>126.7</v>
      </c>
      <c r="G523" s="86"/>
    </row>
    <row r="524" spans="1:7" x14ac:dyDescent="0.25">
      <c r="A524" s="98">
        <v>38108</v>
      </c>
      <c r="B524" s="106"/>
      <c r="C524" s="110">
        <v>38200</v>
      </c>
      <c r="D524" s="85">
        <v>103.8</v>
      </c>
      <c r="E524" s="86"/>
      <c r="F524" s="87">
        <v>126.4</v>
      </c>
      <c r="G524" s="86"/>
    </row>
    <row r="525" spans="1:7" x14ac:dyDescent="0.25">
      <c r="A525" s="98">
        <v>38078</v>
      </c>
      <c r="B525" s="106"/>
      <c r="C525" s="110">
        <v>38169</v>
      </c>
      <c r="D525" s="85">
        <v>103.3</v>
      </c>
      <c r="E525" s="86"/>
      <c r="F525" s="87">
        <v>126.1</v>
      </c>
      <c r="G525" s="86"/>
    </row>
    <row r="526" spans="1:7" x14ac:dyDescent="0.25">
      <c r="A526" s="98">
        <v>38047</v>
      </c>
      <c r="B526" s="106"/>
      <c r="C526" s="110">
        <v>38139</v>
      </c>
      <c r="D526" s="85">
        <v>103</v>
      </c>
      <c r="E526" s="86"/>
      <c r="F526" s="87">
        <v>125.9</v>
      </c>
      <c r="G526" s="86"/>
    </row>
    <row r="527" spans="1:7" x14ac:dyDescent="0.25">
      <c r="A527" s="98">
        <v>38018</v>
      </c>
      <c r="B527" s="106"/>
      <c r="C527" s="110">
        <v>38108</v>
      </c>
      <c r="D527" s="85">
        <v>102.4</v>
      </c>
      <c r="E527" s="86"/>
      <c r="F527" s="87">
        <v>125.4</v>
      </c>
      <c r="G527" s="86"/>
    </row>
    <row r="528" spans="1:7" x14ac:dyDescent="0.25">
      <c r="A528" s="98">
        <v>37987</v>
      </c>
      <c r="B528" s="106"/>
      <c r="C528" s="110">
        <v>38078</v>
      </c>
      <c r="D528" s="85">
        <v>102.3</v>
      </c>
      <c r="E528" s="86"/>
      <c r="F528" s="87">
        <v>125</v>
      </c>
      <c r="G528" s="86"/>
    </row>
    <row r="529" spans="1:7" x14ac:dyDescent="0.25">
      <c r="A529" s="98">
        <v>37956</v>
      </c>
      <c r="B529" s="106"/>
      <c r="C529" s="110">
        <v>38047</v>
      </c>
      <c r="D529" s="85">
        <v>101.8</v>
      </c>
      <c r="E529" s="86"/>
      <c r="F529" s="87">
        <v>124.4</v>
      </c>
      <c r="G529" s="86"/>
    </row>
    <row r="530" spans="1:7" x14ac:dyDescent="0.25">
      <c r="A530" s="98">
        <v>37926</v>
      </c>
      <c r="B530" s="106"/>
      <c r="C530" s="110">
        <v>38018</v>
      </c>
      <c r="D530" s="85">
        <v>102</v>
      </c>
      <c r="E530" s="86"/>
      <c r="F530" s="87">
        <v>124.2</v>
      </c>
      <c r="G530" s="86"/>
    </row>
    <row r="531" spans="1:7" x14ac:dyDescent="0.25">
      <c r="A531" s="99">
        <v>37895</v>
      </c>
      <c r="B531" s="107"/>
      <c r="C531" s="111">
        <v>37987</v>
      </c>
      <c r="D531" s="79">
        <v>101.8</v>
      </c>
      <c r="E531" s="80"/>
      <c r="F531" s="88">
        <v>124.1</v>
      </c>
      <c r="G531" s="80"/>
    </row>
    <row r="532" spans="1:7" x14ac:dyDescent="0.25">
      <c r="A532" s="100">
        <v>37865</v>
      </c>
      <c r="B532" s="106"/>
      <c r="C532" s="113">
        <v>37956</v>
      </c>
      <c r="D532" s="82">
        <v>101.7</v>
      </c>
      <c r="E532" s="83"/>
      <c r="F532" s="89">
        <v>123.9</v>
      </c>
      <c r="G532" s="83"/>
    </row>
    <row r="533" spans="1:7" x14ac:dyDescent="0.25">
      <c r="A533" s="98">
        <v>37834</v>
      </c>
      <c r="B533" s="106"/>
      <c r="C533" s="110">
        <v>37926</v>
      </c>
      <c r="D533" s="85">
        <v>101.9</v>
      </c>
      <c r="E533" s="86"/>
      <c r="F533" s="87">
        <v>123.6</v>
      </c>
      <c r="G533" s="86"/>
    </row>
    <row r="534" spans="1:7" x14ac:dyDescent="0.25">
      <c r="A534" s="98">
        <v>37803</v>
      </c>
      <c r="B534" s="106"/>
      <c r="C534" s="110">
        <v>37895</v>
      </c>
      <c r="D534" s="85">
        <v>101.7</v>
      </c>
      <c r="E534" s="86"/>
      <c r="F534" s="87">
        <v>123.3</v>
      </c>
      <c r="G534" s="86"/>
    </row>
    <row r="535" spans="1:7" x14ac:dyDescent="0.25">
      <c r="A535" s="98">
        <v>37773</v>
      </c>
      <c r="B535" s="106"/>
      <c r="C535" s="110">
        <v>37865</v>
      </c>
      <c r="D535" s="85">
        <v>101.6</v>
      </c>
      <c r="E535" s="86"/>
      <c r="F535" s="87">
        <v>122.6</v>
      </c>
      <c r="G535" s="86"/>
    </row>
    <row r="536" spans="1:7" x14ac:dyDescent="0.25">
      <c r="A536" s="98">
        <v>37742</v>
      </c>
      <c r="B536" s="106"/>
      <c r="C536" s="110">
        <v>37834</v>
      </c>
      <c r="D536" s="85">
        <v>101.6</v>
      </c>
      <c r="E536" s="86"/>
      <c r="F536" s="87">
        <v>122.4</v>
      </c>
      <c r="G536" s="86"/>
    </row>
    <row r="537" spans="1:7" x14ac:dyDescent="0.25">
      <c r="A537" s="98">
        <v>37712</v>
      </c>
      <c r="B537" s="106"/>
      <c r="C537" s="110">
        <v>37803</v>
      </c>
      <c r="D537" s="85">
        <v>102</v>
      </c>
      <c r="E537" s="86"/>
      <c r="F537" s="87">
        <v>122.1</v>
      </c>
      <c r="G537" s="86"/>
    </row>
    <row r="538" spans="1:7" x14ac:dyDescent="0.25">
      <c r="A538" s="98">
        <v>37681</v>
      </c>
      <c r="B538" s="106"/>
      <c r="C538" s="110">
        <v>37773</v>
      </c>
      <c r="D538" s="85">
        <v>102.7</v>
      </c>
      <c r="E538" s="86"/>
      <c r="F538" s="87">
        <v>121.9</v>
      </c>
      <c r="G538" s="86"/>
    </row>
    <row r="539" spans="1:7" x14ac:dyDescent="0.25">
      <c r="A539" s="98">
        <v>37653</v>
      </c>
      <c r="B539" s="106"/>
      <c r="C539" s="110">
        <v>37742</v>
      </c>
      <c r="D539" s="85">
        <v>102.4</v>
      </c>
      <c r="E539" s="86"/>
      <c r="F539" s="87">
        <v>121.4</v>
      </c>
      <c r="G539" s="86"/>
    </row>
    <row r="540" spans="1:7" x14ac:dyDescent="0.25">
      <c r="A540" s="98">
        <v>37622</v>
      </c>
      <c r="B540" s="106"/>
      <c r="C540" s="110">
        <v>37712</v>
      </c>
      <c r="D540" s="85">
        <v>102</v>
      </c>
      <c r="E540" s="86"/>
      <c r="F540" s="87">
        <v>120.9</v>
      </c>
      <c r="G540" s="86"/>
    </row>
    <row r="541" spans="1:7" x14ac:dyDescent="0.25">
      <c r="A541" s="98">
        <v>37591</v>
      </c>
      <c r="B541" s="106"/>
      <c r="C541" s="110">
        <v>37681</v>
      </c>
      <c r="D541" s="85">
        <v>101.5</v>
      </c>
      <c r="E541" s="86"/>
      <c r="F541" s="87">
        <v>120.2</v>
      </c>
      <c r="G541" s="86"/>
    </row>
    <row r="542" spans="1:7" x14ac:dyDescent="0.25">
      <c r="A542" s="98">
        <v>37561</v>
      </c>
      <c r="B542" s="106"/>
      <c r="C542" s="110">
        <v>37653</v>
      </c>
      <c r="D542" s="85">
        <v>101.2</v>
      </c>
      <c r="E542" s="86"/>
      <c r="F542" s="87">
        <v>119.3</v>
      </c>
      <c r="G542" s="86"/>
    </row>
    <row r="543" spans="1:7" x14ac:dyDescent="0.25">
      <c r="A543" s="99">
        <v>37530</v>
      </c>
      <c r="B543" s="107"/>
      <c r="C543" s="111">
        <v>37622</v>
      </c>
      <c r="D543" s="79">
        <v>101.5</v>
      </c>
      <c r="E543" s="80"/>
      <c r="F543" s="88">
        <v>119.1</v>
      </c>
      <c r="G543" s="80"/>
    </row>
    <row r="544" spans="1:7" x14ac:dyDescent="0.25">
      <c r="A544" s="100">
        <v>37500</v>
      </c>
      <c r="B544" s="106"/>
      <c r="C544" s="113">
        <v>37591</v>
      </c>
      <c r="D544" s="82">
        <v>101.6</v>
      </c>
      <c r="E544" s="83"/>
      <c r="F544" s="89">
        <v>119</v>
      </c>
      <c r="G544" s="83"/>
    </row>
    <row r="545" spans="1:7" x14ac:dyDescent="0.25">
      <c r="A545" s="98">
        <v>37469</v>
      </c>
      <c r="B545" s="106"/>
      <c r="C545" s="110">
        <v>37561</v>
      </c>
      <c r="D545" s="85">
        <v>101.4</v>
      </c>
      <c r="E545" s="86"/>
      <c r="F545" s="87">
        <v>118.8</v>
      </c>
      <c r="G545" s="86"/>
    </row>
    <row r="546" spans="1:7" x14ac:dyDescent="0.25">
      <c r="A546" s="98">
        <v>37438</v>
      </c>
      <c r="B546" s="106"/>
      <c r="C546" s="110">
        <v>37530</v>
      </c>
      <c r="D546" s="85">
        <v>101.1</v>
      </c>
      <c r="E546" s="86"/>
      <c r="F546" s="87">
        <v>118.6</v>
      </c>
      <c r="G546" s="86"/>
    </row>
    <row r="547" spans="1:7" x14ac:dyDescent="0.25">
      <c r="A547" s="98">
        <v>37408</v>
      </c>
      <c r="B547" s="106"/>
      <c r="C547" s="110">
        <v>37500</v>
      </c>
      <c r="D547" s="85">
        <v>100.7</v>
      </c>
      <c r="E547" s="86"/>
      <c r="F547" s="87">
        <v>118.2</v>
      </c>
      <c r="G547" s="86"/>
    </row>
    <row r="548" spans="1:7" x14ac:dyDescent="0.25">
      <c r="A548" s="98">
        <v>37377</v>
      </c>
      <c r="B548" s="106"/>
      <c r="C548" s="110">
        <v>37469</v>
      </c>
      <c r="D548" s="85">
        <v>100.9</v>
      </c>
      <c r="E548" s="86"/>
      <c r="F548" s="87">
        <v>117.9</v>
      </c>
      <c r="G548" s="86"/>
    </row>
    <row r="549" spans="1:7" x14ac:dyDescent="0.25">
      <c r="A549" s="98">
        <v>37347</v>
      </c>
      <c r="B549" s="106"/>
      <c r="C549" s="110">
        <v>37438</v>
      </c>
      <c r="D549" s="85">
        <v>101</v>
      </c>
      <c r="E549" s="86"/>
      <c r="F549" s="87">
        <v>117.6</v>
      </c>
      <c r="G549" s="86"/>
    </row>
    <row r="550" spans="1:7" x14ac:dyDescent="0.25">
      <c r="A550" s="98">
        <v>37316</v>
      </c>
      <c r="B550" s="106"/>
      <c r="C550" s="110">
        <v>37408</v>
      </c>
      <c r="D550" s="85">
        <v>100.6</v>
      </c>
      <c r="E550" s="86"/>
      <c r="F550" s="87">
        <v>117.3</v>
      </c>
      <c r="G550" s="86"/>
    </row>
    <row r="551" spans="1:7" x14ac:dyDescent="0.25">
      <c r="A551" s="98">
        <v>37288</v>
      </c>
      <c r="B551" s="106"/>
      <c r="C551" s="110">
        <v>37377</v>
      </c>
      <c r="D551" s="85">
        <v>100.2</v>
      </c>
      <c r="E551" s="86"/>
      <c r="F551" s="87">
        <v>116.5</v>
      </c>
      <c r="G551" s="86"/>
    </row>
    <row r="552" spans="1:7" x14ac:dyDescent="0.25">
      <c r="A552" s="98">
        <v>37257</v>
      </c>
      <c r="B552" s="106"/>
      <c r="C552" s="110">
        <v>37347</v>
      </c>
      <c r="D552" s="85">
        <v>100.3</v>
      </c>
      <c r="E552" s="86"/>
      <c r="F552" s="87">
        <v>116</v>
      </c>
      <c r="G552" s="86"/>
    </row>
    <row r="553" spans="1:7" x14ac:dyDescent="0.25">
      <c r="A553" s="98">
        <v>37226</v>
      </c>
      <c r="B553" s="106"/>
      <c r="C553" s="110">
        <v>37316</v>
      </c>
      <c r="D553" s="85">
        <v>100.2</v>
      </c>
      <c r="E553" s="86"/>
      <c r="F553" s="87">
        <v>115.5</v>
      </c>
      <c r="G553" s="86"/>
    </row>
    <row r="554" spans="1:7" x14ac:dyDescent="0.25">
      <c r="A554" s="98">
        <v>37196</v>
      </c>
      <c r="B554" s="106"/>
      <c r="C554" s="110">
        <v>37288</v>
      </c>
      <c r="D554" s="85">
        <v>100.3</v>
      </c>
      <c r="E554" s="86"/>
      <c r="F554" s="87">
        <v>115.3</v>
      </c>
      <c r="G554" s="86"/>
    </row>
    <row r="555" spans="1:7" x14ac:dyDescent="0.25">
      <c r="A555" s="99">
        <v>37165</v>
      </c>
      <c r="B555" s="107"/>
      <c r="C555" s="111">
        <v>37257</v>
      </c>
      <c r="D555" s="79">
        <v>100.8</v>
      </c>
      <c r="E555" s="80"/>
      <c r="F555" s="88">
        <v>115.1</v>
      </c>
      <c r="G555" s="80"/>
    </row>
    <row r="556" spans="1:7" x14ac:dyDescent="0.25">
      <c r="A556" s="100">
        <v>37135</v>
      </c>
      <c r="B556" s="106"/>
      <c r="C556" s="113">
        <v>37226</v>
      </c>
      <c r="D556" s="82">
        <v>101.2</v>
      </c>
      <c r="E556" s="83"/>
      <c r="F556" s="89">
        <v>114.9</v>
      </c>
      <c r="G556" s="83"/>
    </row>
    <row r="557" spans="1:7" x14ac:dyDescent="0.25">
      <c r="A557" s="98">
        <v>37104</v>
      </c>
      <c r="B557" s="106"/>
      <c r="C557" s="110">
        <v>37196</v>
      </c>
      <c r="D557" s="85">
        <v>101.3</v>
      </c>
      <c r="E557" s="86"/>
      <c r="F557" s="87">
        <v>114.6</v>
      </c>
      <c r="G557" s="86"/>
    </row>
    <row r="558" spans="1:7" x14ac:dyDescent="0.25">
      <c r="A558" s="98">
        <v>37073</v>
      </c>
      <c r="B558" s="106"/>
      <c r="C558" s="110">
        <v>37165</v>
      </c>
      <c r="D558" s="85">
        <v>101.3</v>
      </c>
      <c r="E558" s="86"/>
      <c r="F558" s="87">
        <v>114.4</v>
      </c>
      <c r="G558" s="86"/>
    </row>
    <row r="559" spans="1:7" x14ac:dyDescent="0.25">
      <c r="A559" s="98">
        <v>37043</v>
      </c>
      <c r="B559" s="106"/>
      <c r="C559" s="110">
        <v>37135</v>
      </c>
      <c r="D559" s="85">
        <v>101.9</v>
      </c>
      <c r="E559" s="86"/>
      <c r="F559" s="87">
        <v>114</v>
      </c>
      <c r="G559" s="86"/>
    </row>
    <row r="560" spans="1:7" x14ac:dyDescent="0.25">
      <c r="A560" s="98">
        <v>37012</v>
      </c>
      <c r="B560" s="106"/>
      <c r="C560" s="110">
        <v>37104</v>
      </c>
      <c r="D560" s="85">
        <v>102</v>
      </c>
      <c r="E560" s="86"/>
      <c r="F560" s="87">
        <v>113.6</v>
      </c>
      <c r="G560" s="86"/>
    </row>
    <row r="561" spans="1:7" x14ac:dyDescent="0.25">
      <c r="A561" s="98">
        <v>36982</v>
      </c>
      <c r="B561" s="106"/>
      <c r="C561" s="110">
        <v>37073</v>
      </c>
      <c r="D561" s="85">
        <v>101.7</v>
      </c>
      <c r="E561" s="86"/>
      <c r="F561" s="87">
        <v>113.4</v>
      </c>
      <c r="G561" s="86"/>
    </row>
    <row r="562" spans="1:7" x14ac:dyDescent="0.25">
      <c r="A562" s="98">
        <v>36951</v>
      </c>
      <c r="B562" s="106"/>
      <c r="C562" s="110">
        <v>37043</v>
      </c>
      <c r="D562" s="85">
        <v>101.4</v>
      </c>
      <c r="E562" s="86"/>
      <c r="F562" s="87">
        <v>113.2</v>
      </c>
      <c r="G562" s="86"/>
    </row>
    <row r="563" spans="1:7" x14ac:dyDescent="0.25">
      <c r="A563" s="98">
        <v>36923</v>
      </c>
      <c r="B563" s="106"/>
      <c r="C563" s="110">
        <v>37012</v>
      </c>
      <c r="D563" s="85">
        <v>101.2</v>
      </c>
      <c r="E563" s="86"/>
      <c r="F563" s="87">
        <v>111.4</v>
      </c>
      <c r="G563" s="86"/>
    </row>
    <row r="564" spans="1:7" x14ac:dyDescent="0.25">
      <c r="A564" s="98">
        <v>36892</v>
      </c>
      <c r="B564" s="106"/>
      <c r="C564" s="110">
        <v>36982</v>
      </c>
      <c r="D564" s="85">
        <v>101.1</v>
      </c>
      <c r="E564" s="86"/>
      <c r="F564" s="87">
        <v>110.8</v>
      </c>
      <c r="G564" s="86"/>
    </row>
    <row r="565" spans="1:7" x14ac:dyDescent="0.25">
      <c r="A565" s="98">
        <v>36861</v>
      </c>
      <c r="B565" s="106"/>
      <c r="C565" s="110">
        <v>36951</v>
      </c>
      <c r="D565" s="85">
        <v>101.1</v>
      </c>
      <c r="E565" s="86"/>
      <c r="F565" s="87">
        <v>110.7</v>
      </c>
      <c r="G565" s="86"/>
    </row>
    <row r="566" spans="1:7" x14ac:dyDescent="0.25">
      <c r="A566" s="98">
        <v>36831</v>
      </c>
      <c r="B566" s="106"/>
      <c r="C566" s="110">
        <v>36923</v>
      </c>
      <c r="D566" s="85">
        <v>101.6</v>
      </c>
      <c r="E566" s="86"/>
      <c r="F566" s="87">
        <v>110</v>
      </c>
      <c r="G566" s="86"/>
    </row>
    <row r="567" spans="1:7" x14ac:dyDescent="0.25">
      <c r="A567" s="99">
        <v>36800</v>
      </c>
      <c r="B567" s="107"/>
      <c r="C567" s="111">
        <v>36892</v>
      </c>
      <c r="D567" s="79">
        <v>101.5</v>
      </c>
      <c r="E567" s="80"/>
      <c r="F567" s="88">
        <v>109.9</v>
      </c>
      <c r="G567" s="80"/>
    </row>
    <row r="568" spans="1:7" x14ac:dyDescent="0.25">
      <c r="A568" s="100">
        <v>36770</v>
      </c>
      <c r="B568" s="106"/>
      <c r="C568" s="113">
        <v>36861</v>
      </c>
      <c r="D568" s="82">
        <v>101.3</v>
      </c>
      <c r="E568" s="83"/>
      <c r="F568" s="89">
        <v>109.9</v>
      </c>
      <c r="G568" s="83"/>
    </row>
    <row r="569" spans="1:7" x14ac:dyDescent="0.25">
      <c r="A569" s="98">
        <v>36739</v>
      </c>
      <c r="B569" s="106"/>
      <c r="C569" s="110">
        <v>36831</v>
      </c>
      <c r="D569" s="85">
        <v>100.5</v>
      </c>
      <c r="E569" s="86"/>
      <c r="F569" s="87">
        <v>109.5</v>
      </c>
      <c r="G569" s="86"/>
    </row>
    <row r="570" spans="1:7" x14ac:dyDescent="0.25">
      <c r="A570" s="98">
        <v>36708</v>
      </c>
      <c r="B570" s="106"/>
      <c r="C570" s="110">
        <v>36800</v>
      </c>
      <c r="D570" s="85">
        <v>100.3</v>
      </c>
      <c r="E570" s="86"/>
      <c r="F570" s="87">
        <v>109.3</v>
      </c>
      <c r="G570" s="86"/>
    </row>
    <row r="571" spans="1:7" x14ac:dyDescent="0.25">
      <c r="A571" s="98">
        <v>36678</v>
      </c>
      <c r="B571" s="106"/>
      <c r="C571" s="110">
        <v>36770</v>
      </c>
      <c r="D571" s="85">
        <v>99.9</v>
      </c>
      <c r="E571" s="86"/>
      <c r="F571" s="87">
        <v>109.1</v>
      </c>
      <c r="G571" s="86"/>
    </row>
    <row r="572" spans="1:7" x14ac:dyDescent="0.25">
      <c r="A572" s="98">
        <v>36647</v>
      </c>
      <c r="B572" s="106"/>
      <c r="C572" s="110">
        <v>36739</v>
      </c>
      <c r="D572" s="85">
        <v>99.6</v>
      </c>
      <c r="E572" s="86"/>
      <c r="F572" s="87">
        <v>108.9</v>
      </c>
      <c r="G572" s="86"/>
    </row>
    <row r="573" spans="1:7" x14ac:dyDescent="0.25">
      <c r="A573" s="98">
        <v>36617</v>
      </c>
      <c r="B573" s="106"/>
      <c r="C573" s="110">
        <v>36708</v>
      </c>
      <c r="D573" s="85">
        <v>99.1</v>
      </c>
      <c r="E573" s="86"/>
      <c r="F573" s="87">
        <v>108.6</v>
      </c>
      <c r="G573" s="86"/>
    </row>
    <row r="574" spans="1:7" x14ac:dyDescent="0.25">
      <c r="A574" s="98">
        <v>36586</v>
      </c>
      <c r="B574" s="106"/>
      <c r="C574" s="110">
        <v>36678</v>
      </c>
      <c r="D574" s="85">
        <v>98.8</v>
      </c>
      <c r="E574" s="86"/>
      <c r="F574" s="87">
        <v>108.4</v>
      </c>
      <c r="G574" s="86"/>
    </row>
    <row r="575" spans="1:7" x14ac:dyDescent="0.25">
      <c r="A575" s="98">
        <v>36557</v>
      </c>
      <c r="B575" s="106"/>
      <c r="C575" s="110">
        <v>36647</v>
      </c>
      <c r="D575" s="85">
        <v>98.3</v>
      </c>
      <c r="E575" s="86"/>
      <c r="F575" s="87">
        <v>106.9</v>
      </c>
      <c r="G575" s="86"/>
    </row>
    <row r="576" spans="1:7" x14ac:dyDescent="0.25">
      <c r="A576" s="98">
        <v>36526</v>
      </c>
      <c r="B576" s="106"/>
      <c r="C576" s="110">
        <v>36617</v>
      </c>
      <c r="D576" s="85">
        <v>98</v>
      </c>
      <c r="E576" s="86"/>
      <c r="F576" s="87">
        <v>106.6</v>
      </c>
      <c r="G576" s="86"/>
    </row>
    <row r="577" spans="1:7" x14ac:dyDescent="0.25">
      <c r="A577" s="98">
        <v>36495</v>
      </c>
      <c r="B577" s="106"/>
      <c r="C577" s="110">
        <v>36586</v>
      </c>
      <c r="D577" s="85">
        <v>97.4</v>
      </c>
      <c r="E577" s="86"/>
      <c r="F577" s="87">
        <v>106.2</v>
      </c>
      <c r="G577" s="86"/>
    </row>
    <row r="578" spans="1:7" x14ac:dyDescent="0.25">
      <c r="A578" s="98">
        <v>36465</v>
      </c>
      <c r="B578" s="106"/>
      <c r="C578" s="110">
        <v>36557</v>
      </c>
      <c r="D578" s="85">
        <v>97</v>
      </c>
      <c r="E578" s="86"/>
      <c r="F578" s="87">
        <v>105.7</v>
      </c>
      <c r="G578" s="86"/>
    </row>
    <row r="579" spans="1:7" x14ac:dyDescent="0.25">
      <c r="A579" s="99">
        <v>36434</v>
      </c>
      <c r="B579" s="107"/>
      <c r="C579" s="111">
        <v>36526</v>
      </c>
      <c r="D579" s="79">
        <v>96.6</v>
      </c>
      <c r="E579" s="80"/>
      <c r="F579" s="88">
        <v>105.3</v>
      </c>
      <c r="G579" s="80"/>
    </row>
    <row r="580" spans="1:7" x14ac:dyDescent="0.25">
      <c r="A580" s="100">
        <v>36404</v>
      </c>
      <c r="B580" s="106"/>
      <c r="C580" s="113">
        <v>36495</v>
      </c>
      <c r="D580" s="82">
        <v>96.2</v>
      </c>
      <c r="E580" s="83"/>
      <c r="F580" s="89">
        <v>105.1</v>
      </c>
      <c r="G580" s="83"/>
    </row>
    <row r="581" spans="1:7" x14ac:dyDescent="0.25">
      <c r="A581" s="98">
        <v>36373</v>
      </c>
      <c r="B581" s="106"/>
      <c r="C581" s="110">
        <v>36465</v>
      </c>
      <c r="D581" s="85">
        <v>95.9</v>
      </c>
      <c r="E581" s="86"/>
      <c r="F581" s="87">
        <v>104.4</v>
      </c>
      <c r="G581" s="86"/>
    </row>
    <row r="582" spans="1:7" x14ac:dyDescent="0.25">
      <c r="A582" s="98">
        <v>36342</v>
      </c>
      <c r="B582" s="106"/>
      <c r="C582" s="110">
        <v>36434</v>
      </c>
      <c r="D582" s="85">
        <v>95.7</v>
      </c>
      <c r="E582" s="86"/>
      <c r="F582" s="87">
        <v>104.3</v>
      </c>
      <c r="G582" s="86"/>
    </row>
    <row r="583" spans="1:7" x14ac:dyDescent="0.25">
      <c r="A583" s="98">
        <v>36312</v>
      </c>
      <c r="B583" s="106"/>
      <c r="C583" s="110">
        <v>36404</v>
      </c>
      <c r="D583" s="85">
        <v>95.4</v>
      </c>
      <c r="E583" s="86"/>
      <c r="F583" s="87">
        <v>104.1</v>
      </c>
      <c r="G583" s="86"/>
    </row>
    <row r="584" spans="1:7" x14ac:dyDescent="0.25">
      <c r="A584" s="98">
        <v>36281</v>
      </c>
      <c r="B584" s="106"/>
      <c r="C584" s="110">
        <v>36373</v>
      </c>
      <c r="D584" s="85">
        <v>95.3</v>
      </c>
      <c r="E584" s="86"/>
      <c r="F584" s="87">
        <v>103.5</v>
      </c>
      <c r="G584" s="86"/>
    </row>
    <row r="585" spans="1:7" x14ac:dyDescent="0.25">
      <c r="A585" s="98">
        <v>36251</v>
      </c>
      <c r="B585" s="106"/>
      <c r="C585" s="110">
        <v>36342</v>
      </c>
      <c r="D585" s="85">
        <v>95.4</v>
      </c>
      <c r="E585" s="86"/>
      <c r="F585" s="87">
        <v>103.3</v>
      </c>
      <c r="G585" s="86"/>
    </row>
    <row r="586" spans="1:7" x14ac:dyDescent="0.25">
      <c r="A586" s="98">
        <v>36220</v>
      </c>
      <c r="B586" s="106"/>
      <c r="C586" s="110">
        <v>36312</v>
      </c>
      <c r="D586" s="85">
        <v>95.1</v>
      </c>
      <c r="E586" s="86"/>
      <c r="F586" s="87">
        <v>103.3</v>
      </c>
      <c r="G586" s="86"/>
    </row>
    <row r="587" spans="1:7" x14ac:dyDescent="0.25">
      <c r="A587" s="98">
        <v>36192</v>
      </c>
      <c r="B587" s="106"/>
      <c r="C587" s="110">
        <v>36281</v>
      </c>
      <c r="D587" s="85">
        <v>94.9</v>
      </c>
      <c r="E587" s="86"/>
      <c r="F587" s="87">
        <v>102.7</v>
      </c>
      <c r="G587" s="86"/>
    </row>
    <row r="588" spans="1:7" x14ac:dyDescent="0.25">
      <c r="A588" s="98">
        <v>36161</v>
      </c>
      <c r="B588" s="106"/>
      <c r="C588" s="110">
        <v>36251</v>
      </c>
      <c r="D588" s="85">
        <v>95</v>
      </c>
      <c r="E588" s="86"/>
      <c r="F588" s="87">
        <v>103.1</v>
      </c>
      <c r="G588" s="86"/>
    </row>
    <row r="589" spans="1:7" x14ac:dyDescent="0.25">
      <c r="A589" s="98">
        <v>36130</v>
      </c>
      <c r="B589" s="106"/>
      <c r="C589" s="110">
        <v>36220</v>
      </c>
      <c r="D589" s="85"/>
      <c r="E589" s="86"/>
      <c r="F589" s="87">
        <v>102.7</v>
      </c>
      <c r="G589" s="86"/>
    </row>
    <row r="590" spans="1:7" x14ac:dyDescent="0.25">
      <c r="A590" s="98">
        <v>36100</v>
      </c>
      <c r="B590" s="106"/>
      <c r="C590" s="110">
        <v>36192</v>
      </c>
      <c r="D590" s="85"/>
      <c r="E590" s="86"/>
      <c r="F590" s="87">
        <v>102.4</v>
      </c>
      <c r="G590" s="86"/>
    </row>
    <row r="591" spans="1:7" x14ac:dyDescent="0.25">
      <c r="A591" s="99">
        <v>36069</v>
      </c>
      <c r="B591" s="107"/>
      <c r="C591" s="111">
        <v>36161</v>
      </c>
      <c r="D591" s="79"/>
      <c r="E591" s="80"/>
      <c r="F591" s="88">
        <v>102.4</v>
      </c>
      <c r="G591" s="80"/>
    </row>
    <row r="592" spans="1:7" x14ac:dyDescent="0.25">
      <c r="A592" s="100">
        <v>36039</v>
      </c>
      <c r="B592" s="106"/>
      <c r="C592" s="113">
        <v>36130</v>
      </c>
      <c r="D592" s="82"/>
      <c r="E592" s="83"/>
      <c r="F592" s="89">
        <v>102.2</v>
      </c>
      <c r="G592" s="83"/>
    </row>
    <row r="593" spans="1:7" x14ac:dyDescent="0.25">
      <c r="A593" s="98">
        <v>36008</v>
      </c>
      <c r="B593" s="106"/>
      <c r="C593" s="110">
        <v>36100</v>
      </c>
      <c r="D593" s="85"/>
      <c r="E593" s="86"/>
      <c r="F593" s="87">
        <v>102.2</v>
      </c>
      <c r="G593" s="86"/>
    </row>
    <row r="594" spans="1:7" x14ac:dyDescent="0.25">
      <c r="A594" s="98">
        <v>35977</v>
      </c>
      <c r="B594" s="106"/>
      <c r="C594" s="110">
        <v>36069</v>
      </c>
      <c r="D594" s="85"/>
      <c r="E594" s="86"/>
      <c r="F594" s="87">
        <v>102.2</v>
      </c>
      <c r="G594" s="86"/>
    </row>
    <row r="595" spans="1:7" x14ac:dyDescent="0.25">
      <c r="A595" s="98">
        <v>35947</v>
      </c>
      <c r="B595" s="106"/>
      <c r="C595" s="110">
        <v>36039</v>
      </c>
      <c r="D595" s="85"/>
      <c r="E595" s="86"/>
      <c r="F595" s="87">
        <v>102.2</v>
      </c>
      <c r="G595" s="86"/>
    </row>
    <row r="596" spans="1:7" x14ac:dyDescent="0.25">
      <c r="A596" s="98">
        <v>35916</v>
      </c>
      <c r="B596" s="106"/>
      <c r="C596" s="110">
        <v>36008</v>
      </c>
      <c r="D596" s="85"/>
      <c r="E596" s="86"/>
      <c r="F596" s="87">
        <v>102.1</v>
      </c>
      <c r="G596" s="86"/>
    </row>
    <row r="597" spans="1:7" x14ac:dyDescent="0.25">
      <c r="A597" s="98">
        <v>35886</v>
      </c>
      <c r="B597" s="106"/>
      <c r="C597" s="110">
        <v>35977</v>
      </c>
      <c r="D597" s="85"/>
      <c r="E597" s="86"/>
      <c r="F597" s="87">
        <v>101.9</v>
      </c>
      <c r="G597" s="86"/>
    </row>
    <row r="598" spans="1:7" x14ac:dyDescent="0.25">
      <c r="A598" s="98">
        <v>35855</v>
      </c>
      <c r="B598" s="106"/>
      <c r="C598" s="110">
        <v>35947</v>
      </c>
      <c r="D598" s="85"/>
      <c r="E598" s="86"/>
      <c r="F598" s="87">
        <v>101.3</v>
      </c>
      <c r="G598" s="86"/>
    </row>
    <row r="599" spans="1:7" x14ac:dyDescent="0.25">
      <c r="A599" s="98">
        <v>35827</v>
      </c>
      <c r="B599" s="106"/>
      <c r="C599" s="110">
        <v>35916</v>
      </c>
      <c r="D599" s="85"/>
      <c r="E599" s="86"/>
      <c r="F599" s="87">
        <v>101.1</v>
      </c>
      <c r="G599" s="86"/>
    </row>
    <row r="600" spans="1:7" x14ac:dyDescent="0.25">
      <c r="A600" s="98">
        <v>35796</v>
      </c>
      <c r="B600" s="106"/>
      <c r="C600" s="110">
        <v>35886</v>
      </c>
      <c r="D600" s="85"/>
      <c r="E600" s="86"/>
      <c r="F600" s="87">
        <v>100.7</v>
      </c>
      <c r="G600" s="86"/>
    </row>
    <row r="601" spans="1:7" x14ac:dyDescent="0.25">
      <c r="A601" s="98">
        <v>35765</v>
      </c>
      <c r="B601" s="106"/>
      <c r="C601" s="110">
        <v>35855</v>
      </c>
      <c r="D601" s="85"/>
      <c r="E601" s="86"/>
      <c r="F601" s="87">
        <v>100</v>
      </c>
      <c r="G601" s="86"/>
    </row>
    <row r="602" spans="1:7" x14ac:dyDescent="0.25">
      <c r="A602" s="98">
        <v>35735</v>
      </c>
      <c r="B602" s="106"/>
      <c r="C602" s="110">
        <v>35827</v>
      </c>
      <c r="D602" s="85"/>
      <c r="E602" s="86"/>
      <c r="F602" s="87">
        <v>100</v>
      </c>
      <c r="G602" s="86"/>
    </row>
    <row r="603" spans="1:7" x14ac:dyDescent="0.25">
      <c r="A603" s="99">
        <v>35704</v>
      </c>
      <c r="B603" s="107"/>
      <c r="C603" s="111">
        <v>35796</v>
      </c>
      <c r="D603" s="79"/>
      <c r="E603" s="80"/>
      <c r="F603" s="88">
        <v>100</v>
      </c>
      <c r="G603" s="80"/>
    </row>
    <row r="604" spans="1:7" x14ac:dyDescent="0.25">
      <c r="A604" s="100">
        <v>35674</v>
      </c>
      <c r="B604" s="106"/>
      <c r="C604" s="113">
        <v>35765</v>
      </c>
      <c r="D604" s="82"/>
      <c r="E604" s="83"/>
      <c r="F604" s="89">
        <v>99.9</v>
      </c>
      <c r="G604" s="83"/>
    </row>
    <row r="605" spans="1:7" x14ac:dyDescent="0.25">
      <c r="A605" s="98">
        <v>35643</v>
      </c>
      <c r="B605" s="106"/>
      <c r="C605" s="110">
        <v>35735</v>
      </c>
      <c r="D605" s="85"/>
      <c r="E605" s="86"/>
      <c r="F605" s="87">
        <v>99.7</v>
      </c>
      <c r="G605" s="86"/>
    </row>
    <row r="606" spans="1:7" x14ac:dyDescent="0.25">
      <c r="A606" s="98">
        <v>35612</v>
      </c>
      <c r="B606" s="106"/>
      <c r="C606" s="110">
        <v>35704</v>
      </c>
      <c r="D606" s="85"/>
      <c r="E606" s="86"/>
      <c r="F606" s="87">
        <v>99.6</v>
      </c>
      <c r="G606" s="86"/>
    </row>
    <row r="607" spans="1:7" x14ac:dyDescent="0.25">
      <c r="A607" s="98">
        <v>35582</v>
      </c>
      <c r="B607" s="106"/>
      <c r="C607" s="110">
        <v>35674</v>
      </c>
      <c r="D607" s="85"/>
      <c r="E607" s="86"/>
      <c r="F607" s="87">
        <v>99.3</v>
      </c>
      <c r="G607" s="86"/>
    </row>
    <row r="608" spans="1:7" x14ac:dyDescent="0.25">
      <c r="A608" s="98">
        <v>35551</v>
      </c>
      <c r="B608" s="106"/>
      <c r="C608" s="110">
        <v>35643</v>
      </c>
      <c r="D608" s="85"/>
      <c r="E608" s="86"/>
      <c r="F608" s="87">
        <v>99</v>
      </c>
      <c r="G608" s="86"/>
    </row>
    <row r="609" spans="1:7" x14ac:dyDescent="0.25">
      <c r="A609" s="98">
        <v>35521</v>
      </c>
      <c r="B609" s="106"/>
      <c r="C609" s="110">
        <v>35612</v>
      </c>
      <c r="D609" s="85"/>
      <c r="E609" s="86"/>
      <c r="F609" s="87">
        <v>98.7</v>
      </c>
      <c r="G609" s="86"/>
    </row>
    <row r="610" spans="1:7" x14ac:dyDescent="0.25">
      <c r="A610" s="98">
        <v>35490</v>
      </c>
      <c r="B610" s="106"/>
      <c r="C610" s="110">
        <v>35582</v>
      </c>
      <c r="D610" s="85"/>
      <c r="E610" s="86"/>
      <c r="F610" s="87">
        <v>98.5</v>
      </c>
      <c r="G610" s="86"/>
    </row>
    <row r="611" spans="1:7" x14ac:dyDescent="0.25">
      <c r="A611" s="98">
        <v>35462</v>
      </c>
      <c r="B611" s="106"/>
      <c r="C611" s="110">
        <v>35551</v>
      </c>
      <c r="D611" s="85"/>
      <c r="E611" s="86"/>
      <c r="F611" s="87">
        <v>98.3</v>
      </c>
      <c r="G611" s="86"/>
    </row>
    <row r="612" spans="1:7" x14ac:dyDescent="0.25">
      <c r="A612" s="98">
        <v>35431</v>
      </c>
      <c r="B612" s="106"/>
      <c r="C612" s="110">
        <v>35521</v>
      </c>
      <c r="D612" s="85"/>
      <c r="E612" s="86"/>
      <c r="F612" s="87">
        <v>97.4</v>
      </c>
      <c r="G612" s="86"/>
    </row>
    <row r="613" spans="1:7" x14ac:dyDescent="0.25">
      <c r="A613" s="98">
        <v>35400</v>
      </c>
      <c r="B613" s="106"/>
      <c r="C613" s="110">
        <v>35490</v>
      </c>
      <c r="D613" s="85"/>
      <c r="E613" s="86"/>
      <c r="F613" s="87">
        <v>97.2</v>
      </c>
      <c r="G613" s="86"/>
    </row>
    <row r="614" spans="1:7" x14ac:dyDescent="0.25">
      <c r="A614" s="98">
        <v>35370</v>
      </c>
      <c r="B614" s="106"/>
      <c r="C614" s="110">
        <v>35462</v>
      </c>
      <c r="D614" s="85"/>
      <c r="E614" s="86"/>
      <c r="F614" s="87">
        <v>97</v>
      </c>
      <c r="G614" s="86"/>
    </row>
    <row r="615" spans="1:7" x14ac:dyDescent="0.25">
      <c r="A615" s="99">
        <v>35339</v>
      </c>
      <c r="B615" s="107"/>
      <c r="C615" s="111">
        <v>35431</v>
      </c>
      <c r="D615" s="79"/>
      <c r="E615" s="80"/>
      <c r="F615" s="88">
        <v>96.9</v>
      </c>
      <c r="G615" s="80"/>
    </row>
    <row r="616" spans="1:7" x14ac:dyDescent="0.25">
      <c r="A616" s="100">
        <v>35309</v>
      </c>
      <c r="B616" s="106"/>
      <c r="C616" s="113">
        <v>35400</v>
      </c>
      <c r="D616" s="82"/>
      <c r="E616" s="83"/>
      <c r="F616" s="89">
        <v>96.9</v>
      </c>
      <c r="G616" s="83"/>
    </row>
    <row r="617" spans="1:7" x14ac:dyDescent="0.25">
      <c r="A617" s="98">
        <v>35278</v>
      </c>
      <c r="B617" s="106"/>
      <c r="C617" s="110">
        <v>35370</v>
      </c>
      <c r="D617" s="85"/>
      <c r="E617" s="86"/>
      <c r="F617" s="87">
        <v>96.9</v>
      </c>
      <c r="G617" s="86"/>
    </row>
    <row r="618" spans="1:7" x14ac:dyDescent="0.25">
      <c r="A618" s="98">
        <v>35247</v>
      </c>
      <c r="B618" s="106"/>
      <c r="C618" s="110">
        <v>35339</v>
      </c>
      <c r="D618" s="85"/>
      <c r="E618" s="86"/>
      <c r="F618" s="87">
        <v>96.8</v>
      </c>
      <c r="G618" s="86"/>
    </row>
    <row r="619" spans="1:7" x14ac:dyDescent="0.25">
      <c r="A619" s="98">
        <v>35217</v>
      </c>
      <c r="B619" s="106"/>
      <c r="C619" s="110">
        <v>35309</v>
      </c>
      <c r="D619" s="85"/>
      <c r="E619" s="86"/>
      <c r="F619" s="87">
        <v>96.6</v>
      </c>
      <c r="G619" s="86"/>
    </row>
    <row r="620" spans="1:7" x14ac:dyDescent="0.25">
      <c r="A620" s="98">
        <v>35186</v>
      </c>
      <c r="B620" s="106"/>
      <c r="C620" s="110">
        <v>35278</v>
      </c>
      <c r="D620" s="85"/>
      <c r="E620" s="86"/>
      <c r="F620" s="87">
        <v>96.4</v>
      </c>
      <c r="G620" s="86"/>
    </row>
    <row r="621" spans="1:7" x14ac:dyDescent="0.25">
      <c r="A621" s="98">
        <v>35156</v>
      </c>
      <c r="B621" s="106"/>
      <c r="C621" s="110">
        <v>35247</v>
      </c>
      <c r="D621" s="85"/>
      <c r="E621" s="86"/>
      <c r="F621" s="87">
        <v>96.2</v>
      </c>
      <c r="G621" s="86"/>
    </row>
    <row r="622" spans="1:7" x14ac:dyDescent="0.25">
      <c r="A622" s="98">
        <v>35125</v>
      </c>
      <c r="B622" s="106"/>
      <c r="C622" s="110">
        <v>35217</v>
      </c>
      <c r="D622" s="85"/>
      <c r="E622" s="86"/>
      <c r="F622" s="87">
        <v>95.9</v>
      </c>
      <c r="G622" s="86"/>
    </row>
    <row r="623" spans="1:7" x14ac:dyDescent="0.25">
      <c r="A623" s="98">
        <v>35096</v>
      </c>
      <c r="B623" s="106"/>
      <c r="C623" s="110">
        <v>35186</v>
      </c>
      <c r="D623" s="85"/>
      <c r="E623" s="86"/>
      <c r="F623" s="87">
        <v>95.6</v>
      </c>
      <c r="G623" s="86"/>
    </row>
    <row r="624" spans="1:7" ht="15.75" thickBot="1" x14ac:dyDescent="0.3">
      <c r="A624" s="101">
        <v>35065</v>
      </c>
      <c r="B624" s="108"/>
      <c r="C624" s="114">
        <v>35156</v>
      </c>
      <c r="D624" s="102"/>
      <c r="E624" s="103"/>
      <c r="F624" s="104">
        <v>95.7</v>
      </c>
      <c r="G624" s="103"/>
    </row>
  </sheetData>
  <mergeCells count="4">
    <mergeCell ref="D1:E1"/>
    <mergeCell ref="F1:G1"/>
    <mergeCell ref="C2:C3"/>
    <mergeCell ref="A2:B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407A6EC4B95340AC27CB3C7E55252E" ma:contentTypeVersion="9" ma:contentTypeDescription="Crée un document." ma:contentTypeScope="" ma:versionID="be8d0ab97de3d1505315ac7bf1e15881">
  <xsd:schema xmlns:xsd="http://www.w3.org/2001/XMLSchema" xmlns:xs="http://www.w3.org/2001/XMLSchema" xmlns:p="http://schemas.microsoft.com/office/2006/metadata/properties" xmlns:ns3="72be76ca-0f39-41c6-a2ea-2b381aa5f716" xmlns:ns4="4eef01b6-2807-45da-a158-2bb2fb7998bb" targetNamespace="http://schemas.microsoft.com/office/2006/metadata/properties" ma:root="true" ma:fieldsID="5c9d1736ca7a55de2167c836eb1a2153" ns3:_="" ns4:_="">
    <xsd:import namespace="72be76ca-0f39-41c6-a2ea-2b381aa5f716"/>
    <xsd:import namespace="4eef01b6-2807-45da-a158-2bb2fb7998b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be76ca-0f39-41c6-a2ea-2b381aa5f7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ef01b6-2807-45da-a158-2bb2fb7998b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DA0C14-CD1D-4E55-8261-02EE4F0969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be76ca-0f39-41c6-a2ea-2b381aa5f716"/>
    <ds:schemaRef ds:uri="4eef01b6-2807-45da-a158-2bb2fb7998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BB9F4A-339F-4DD9-994F-FD5D012DFDD2}">
  <ds:schemaRefs>
    <ds:schemaRef ds:uri="4eef01b6-2807-45da-a158-2bb2fb7998bb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72be76ca-0f39-41c6-a2ea-2b381aa5f716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6B3BB3F-F4D2-4155-ADF1-2C0D8C6199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40</vt:i4>
      </vt:variant>
    </vt:vector>
  </HeadingPairs>
  <TitlesOfParts>
    <vt:vector size="48" baseType="lpstr">
      <vt:lpstr>Modèle</vt:lpstr>
      <vt:lpstr>Contrat</vt:lpstr>
      <vt:lpstr>CAPEX</vt:lpstr>
      <vt:lpstr>OPEX</vt:lpstr>
      <vt:lpstr>Productible</vt:lpstr>
      <vt:lpstr>TRI</vt:lpstr>
      <vt:lpstr>Modulation géo</vt:lpstr>
      <vt:lpstr>Indices INSEE</vt:lpstr>
      <vt:lpstr>Modèle!année_k_révision</vt:lpstr>
      <vt:lpstr>Modèle!CAPEX</vt:lpstr>
      <vt:lpstr>Modèle!code_contrat</vt:lpstr>
      <vt:lpstr>Modèle!coefficient_A</vt:lpstr>
      <vt:lpstr>Modèle!coefficient_B</vt:lpstr>
      <vt:lpstr>Modèle!coefficient_K</vt:lpstr>
      <vt:lpstr>Modèle!coefficient_L</vt:lpstr>
      <vt:lpstr>Modèle!coefficient_L_post_révision</vt:lpstr>
      <vt:lpstr>coefficient_M</vt:lpstr>
      <vt:lpstr>coefficient_N</vt:lpstr>
      <vt:lpstr>Modèle!coefficient_R</vt:lpstr>
      <vt:lpstr>coefficient_X</vt:lpstr>
      <vt:lpstr>Modèle!date_DCR</vt:lpstr>
      <vt:lpstr>Modèle!date_MES</vt:lpstr>
      <vt:lpstr>date_révision</vt:lpstr>
      <vt:lpstr>Modèle!département</vt:lpstr>
      <vt:lpstr>Modèle!disponibilité</vt:lpstr>
      <vt:lpstr>Modèle!inflation</vt:lpstr>
      <vt:lpstr>Modèle!MC_ZNI?</vt:lpstr>
      <vt:lpstr>OPEX_MES</vt:lpstr>
      <vt:lpstr>Modèle!perte_rendement</vt:lpstr>
      <vt:lpstr>Modèle!plage_puissance</vt:lpstr>
      <vt:lpstr>pourcentage_année_n</vt:lpstr>
      <vt:lpstr>pourcentage_année_nplus1</vt:lpstr>
      <vt:lpstr>pourcentage_annéek_tref</vt:lpstr>
      <vt:lpstr>pourcentage_annéek_trev</vt:lpstr>
      <vt:lpstr>Modèle!puissance</vt:lpstr>
      <vt:lpstr>Modèle!région</vt:lpstr>
      <vt:lpstr>Modèle!révision?</vt:lpstr>
      <vt:lpstr>tarif_nul</vt:lpstr>
      <vt:lpstr>Modèle!Tbase</vt:lpstr>
      <vt:lpstr>Modèle!Tref</vt:lpstr>
      <vt:lpstr>Tref_k</vt:lpstr>
      <vt:lpstr>Trévision</vt:lpstr>
      <vt:lpstr>Trevision_théorique</vt:lpstr>
      <vt:lpstr>Modèle!TRI_cible</vt:lpstr>
      <vt:lpstr>Modèle!trimestre_MES</vt:lpstr>
      <vt:lpstr>Modèle!typologie_détaillée</vt:lpstr>
      <vt:lpstr>Modèle!typologie_simplifiée_CAPEX</vt:lpstr>
      <vt:lpstr>Modèle!typologie_simplifiée_OPEX_productible</vt:lpstr>
    </vt:vector>
  </TitlesOfParts>
  <Manager>CRE</Manager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Modèle-affaires-concertation</dc:title>
  <dc:subject/>
  <dc:creator>Calle Thibault</dc:creator>
  <cp:keywords/>
  <dc:description/>
  <cp:lastModifiedBy>stephane dupuis</cp:lastModifiedBy>
  <cp:revision/>
  <dcterms:created xsi:type="dcterms:W3CDTF">2021-03-26T09:33:18Z</dcterms:created>
  <dcterms:modified xsi:type="dcterms:W3CDTF">2021-06-14T08:00:29Z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0x0101007B407A6EC4B95340AC27CB3C7E55252E</vt:lpwstr>
  </property>
</Properties>
</file>